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事业单位管理2023\2023招聘\"/>
    </mc:Choice>
  </mc:AlternateContent>
  <bookViews>
    <workbookView xWindow="0" yWindow="0" windowWidth="18345" windowHeight="8055"/>
  </bookViews>
  <sheets>
    <sheet name="5473_64ad552749313" sheetId="1" r:id="rId1"/>
  </sheets>
  <definedNames>
    <definedName name="_xlnm._FilterDatabase" localSheetId="0" hidden="1">'5473_64ad552749313'!$A$2:$J$103</definedName>
    <definedName name="_xlnm.Print_Area" localSheetId="0">'5473_64ad552749313'!$A$1:$K$140</definedName>
    <definedName name="_xlnm.Print_Titles" localSheetId="0">'5473_64ad552749313'!$1:$2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2" i="1"/>
  <c r="J13" i="1"/>
  <c r="J14" i="1"/>
  <c r="J17" i="1"/>
  <c r="J18" i="1"/>
  <c r="J19" i="1"/>
  <c r="J20" i="1"/>
  <c r="J21" i="1"/>
  <c r="J23" i="1"/>
  <c r="J24" i="1"/>
  <c r="J25" i="1"/>
  <c r="J26" i="1"/>
  <c r="J27" i="1"/>
  <c r="J29" i="1"/>
  <c r="J30" i="1"/>
  <c r="J31" i="1"/>
  <c r="J32" i="1"/>
  <c r="J33" i="1"/>
  <c r="J34" i="1"/>
  <c r="J36" i="1"/>
  <c r="J37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1" i="1"/>
  <c r="J62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3" i="1"/>
  <c r="J84" i="1"/>
  <c r="J85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3" i="1"/>
  <c r="E118" i="1" l="1"/>
  <c r="E83" i="1"/>
  <c r="E75" i="1"/>
  <c r="E40" i="1"/>
  <c r="E41" i="1"/>
  <c r="E42" i="1"/>
  <c r="E33" i="1"/>
  <c r="E34" i="1"/>
  <c r="E14" i="1"/>
  <c r="E20" i="1"/>
  <c r="E117" i="1" l="1"/>
  <c r="D117" i="1"/>
  <c r="C117" i="1"/>
  <c r="B117" i="1"/>
  <c r="E109" i="1"/>
  <c r="D109" i="1"/>
  <c r="C109" i="1"/>
  <c r="B109" i="1"/>
  <c r="E103" i="1"/>
  <c r="D103" i="1"/>
  <c r="C103" i="1"/>
  <c r="B103" i="1"/>
  <c r="E102" i="1"/>
  <c r="D102" i="1"/>
  <c r="C102" i="1"/>
  <c r="B102" i="1"/>
  <c r="E93" i="1"/>
  <c r="D93" i="1"/>
  <c r="C93" i="1"/>
  <c r="B93" i="1"/>
  <c r="E92" i="1"/>
  <c r="D92" i="1"/>
  <c r="C92" i="1"/>
  <c r="B92" i="1"/>
  <c r="E91" i="1"/>
  <c r="D91" i="1"/>
  <c r="C91" i="1"/>
  <c r="B91" i="1"/>
  <c r="E66" i="1" l="1"/>
  <c r="D66" i="1"/>
  <c r="B67" i="1"/>
  <c r="C67" i="1"/>
  <c r="B68" i="1"/>
  <c r="C68" i="1"/>
  <c r="B35" i="1"/>
  <c r="C35" i="1"/>
  <c r="D35" i="1"/>
  <c r="E35" i="1"/>
  <c r="E24" i="1"/>
  <c r="D24" i="1"/>
  <c r="C24" i="1"/>
  <c r="B24" i="1"/>
  <c r="E10" i="1"/>
  <c r="D10" i="1"/>
  <c r="C10" i="1"/>
  <c r="B10" i="1"/>
  <c r="E140" i="1" l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E67" i="1"/>
  <c r="D67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3" i="1"/>
  <c r="D23" i="1"/>
  <c r="C23" i="1"/>
  <c r="B23" i="1"/>
  <c r="E22" i="1"/>
  <c r="D22" i="1"/>
  <c r="C22" i="1"/>
  <c r="B22" i="1"/>
  <c r="E21" i="1"/>
  <c r="D21" i="1"/>
  <c r="C21" i="1"/>
  <c r="B21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3" i="1"/>
  <c r="D13" i="1"/>
  <c r="C13" i="1"/>
  <c r="B13" i="1"/>
  <c r="E12" i="1"/>
  <c r="D12" i="1"/>
  <c r="C12" i="1"/>
  <c r="B12" i="1"/>
  <c r="E11" i="1"/>
  <c r="D11" i="1"/>
  <c r="C11" i="1"/>
  <c r="B11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<sst xmlns="http://schemas.openxmlformats.org/spreadsheetml/2006/main" count="342" uniqueCount="63">
  <si>
    <t>序号</t>
  </si>
  <si>
    <t>姓名</t>
  </si>
  <si>
    <t>性别</t>
  </si>
  <si>
    <t>准考证号</t>
  </si>
  <si>
    <t>岗位代码</t>
  </si>
  <si>
    <t>岗位名称</t>
  </si>
  <si>
    <t>招聘单位</t>
  </si>
  <si>
    <t>笔试成绩</t>
  </si>
  <si>
    <t>语文教师</t>
  </si>
  <si>
    <t>高中</t>
  </si>
  <si>
    <t>数学教师</t>
  </si>
  <si>
    <t>英语教师</t>
  </si>
  <si>
    <t>政治教师</t>
  </si>
  <si>
    <t>地理教师</t>
  </si>
  <si>
    <t>物理教师</t>
  </si>
  <si>
    <t>生物教师</t>
  </si>
  <si>
    <t>初中</t>
  </si>
  <si>
    <t>历史教师</t>
  </si>
  <si>
    <t>化学教师</t>
  </si>
  <si>
    <t>音乐教师</t>
  </si>
  <si>
    <t>体育教师</t>
  </si>
  <si>
    <t>美术教师</t>
  </si>
  <si>
    <t>信息技术教师</t>
  </si>
  <si>
    <t>心理健康教育教师</t>
  </si>
  <si>
    <t>小学</t>
  </si>
  <si>
    <t>陈可欣</t>
  </si>
  <si>
    <t>女</t>
  </si>
  <si>
    <t>陈婷</t>
  </si>
  <si>
    <t>202301224032</t>
  </si>
  <si>
    <t>202301224034</t>
  </si>
  <si>
    <t>男</t>
  </si>
  <si>
    <t>吴可欣</t>
  </si>
  <si>
    <t>202301229018</t>
  </si>
  <si>
    <t>蒋志豪</t>
  </si>
  <si>
    <t>202301229119</t>
  </si>
  <si>
    <t>刘淑健</t>
  </si>
  <si>
    <t>202301220335</t>
  </si>
  <si>
    <t>张湘玉</t>
  </si>
  <si>
    <t>202301220327</t>
  </si>
  <si>
    <t>屈灵</t>
  </si>
  <si>
    <t>刘奕欣</t>
  </si>
  <si>
    <t>202301220930</t>
  </si>
  <si>
    <t>202301221006</t>
  </si>
  <si>
    <t>周珺洁</t>
  </si>
  <si>
    <t>黄婷婷</t>
  </si>
  <si>
    <t>202301224808</t>
  </si>
  <si>
    <t>唐青</t>
  </si>
  <si>
    <t>202301220727</t>
  </si>
  <si>
    <t>欧欣雨</t>
  </si>
  <si>
    <t>202301224409</t>
  </si>
  <si>
    <t>廖婷</t>
  </si>
  <si>
    <t>202301227213</t>
  </si>
  <si>
    <t>面试成绩</t>
    <phoneticPr fontId="1" type="noConversion"/>
  </si>
  <si>
    <t>综合成绩</t>
    <phoneticPr fontId="1" type="noConversion"/>
  </si>
  <si>
    <t>备注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</si>
  <si>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</si>
  <si>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</si>
  <si>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</si>
  <si>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</si>
  <si>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</si>
  <si>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</si>
  <si>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</si>
  <si>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 xml:space="preserve"> 东安县2023年公开招聘教师面试综合成绩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</si>
</sst>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50" zoomScale="145" zoomScaleNormal="145" workbookViewId="0">
      <selection activeCell="M55" sqref="M55"/>
    </sheetView>
  </sheetViews>
  <sheetFormatPr defaultColWidth="9.5" defaultRowHeight="14.25" customHeight="1" x14ac:dyDescent="0.15"/>
  <cols>
    <col min="1" max="1" width="5.375" style="4" customWidth="1"/>
    <col min="2" max="2" width="10" style="4" customWidth="1"/>
    <col min="3" max="3" width="4.75" style="4" customWidth="1"/>
    <col min="4" max="4" width="14.5" style="4" customWidth="1"/>
    <col min="5" max="5" width="4.625" style="4" customWidth="1"/>
    <col min="6" max="6" width="10.375" style="4" customWidth="1"/>
    <col min="7" max="7" width="6.875" style="4" customWidth="1"/>
    <col min="8" max="8" width="8.5" style="4" customWidth="1"/>
    <col min="9" max="9" width="8.625" style="4" customWidth="1"/>
    <col min="10" max="10" width="7.5" style="11" customWidth="1"/>
    <col min="11" max="11" width="8" style="4" customWidth="1"/>
    <col min="12" max="16384" width="9.5" style="4"/>
  </cols>
  <sheetData>
    <row r="1" spans="1:11" ht="31.5" customHeight="1" x14ac:dyDescent="0.1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3" customFormat="1" ht="28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52</v>
      </c>
      <c r="J2" s="9" t="s">
        <v>53</v>
      </c>
      <c r="K2" s="1" t="s">
        <v>54</v>
      </c>
    </row>
    <row r="3" spans="1:11" s="7" customFormat="1" ht="14.25" customHeight="1" x14ac:dyDescent="0.15">
      <c r="A3" s="5">
        <v>1</v>
      </c>
      <c r="B3" s="6" t="str">
        <f>"肖言萍"</f>
        <v>肖言萍</v>
      </c>
      <c r="C3" s="6" t="str">
        <f>"女"</f>
        <v>女</v>
      </c>
      <c r="D3" s="6" t="str">
        <f>"202301229323"</f>
        <v>202301229323</v>
      </c>
      <c r="E3" s="5" t="str">
        <f t="shared" ref="E3:E6" si="0">"01"</f>
        <v>01</v>
      </c>
      <c r="F3" s="6" t="s">
        <v>8</v>
      </c>
      <c r="G3" s="6" t="s">
        <v>9</v>
      </c>
      <c r="H3" s="6">
        <v>80.05</v>
      </c>
      <c r="I3" s="6">
        <v>81.64</v>
      </c>
      <c r="J3" s="10">
        <f>H3*0.5+I3*0.5</f>
        <v>80.844999999999999</v>
      </c>
      <c r="K3" s="5"/>
    </row>
    <row r="4" spans="1:11" s="7" customFormat="1" ht="14.25" customHeight="1" x14ac:dyDescent="0.15">
      <c r="A4" s="5">
        <v>2</v>
      </c>
      <c r="B4" s="6" t="str">
        <f>"陈慧英"</f>
        <v>陈慧英</v>
      </c>
      <c r="C4" s="6" t="str">
        <f>"女"</f>
        <v>女</v>
      </c>
      <c r="D4" s="6" t="str">
        <f>"202301229314"</f>
        <v>202301229314</v>
      </c>
      <c r="E4" s="5" t="str">
        <f t="shared" si="0"/>
        <v>01</v>
      </c>
      <c r="F4" s="6" t="s">
        <v>8</v>
      </c>
      <c r="G4" s="6" t="s">
        <v>9</v>
      </c>
      <c r="H4" s="6">
        <v>78.45</v>
      </c>
      <c r="I4" s="6">
        <v>79.98</v>
      </c>
      <c r="J4" s="10">
        <f t="shared" ref="J4:J67" si="1">H4*0.5+I4*0.5</f>
        <v>79.215000000000003</v>
      </c>
      <c r="K4" s="5"/>
    </row>
    <row r="5" spans="1:11" s="7" customFormat="1" ht="14.25" customHeight="1" x14ac:dyDescent="0.15">
      <c r="A5" s="5">
        <v>3</v>
      </c>
      <c r="B5" s="5" t="str">
        <f>"曾延茂"</f>
        <v>曾延茂</v>
      </c>
      <c r="C5" s="5" t="str">
        <f>"男"</f>
        <v>男</v>
      </c>
      <c r="D5" s="5" t="str">
        <f>"202301229318"</f>
        <v>202301229318</v>
      </c>
      <c r="E5" s="5" t="str">
        <f t="shared" si="0"/>
        <v>01</v>
      </c>
      <c r="F5" s="5" t="s">
        <v>8</v>
      </c>
      <c r="G5" s="5" t="s">
        <v>9</v>
      </c>
      <c r="H5" s="5">
        <v>78.400000000000006</v>
      </c>
      <c r="I5" s="5">
        <v>82.18</v>
      </c>
      <c r="J5" s="10">
        <f t="shared" si="1"/>
        <v>80.290000000000006</v>
      </c>
      <c r="K5" s="5"/>
    </row>
    <row r="6" spans="1:11" ht="14.25" customHeight="1" x14ac:dyDescent="0.15">
      <c r="A6" s="5">
        <v>4</v>
      </c>
      <c r="B6" s="6" t="str">
        <f>"胡先达"</f>
        <v>胡先达</v>
      </c>
      <c r="C6" s="6" t="str">
        <f>"男"</f>
        <v>男</v>
      </c>
      <c r="D6" s="6" t="str">
        <f>"202301229333"</f>
        <v>202301229333</v>
      </c>
      <c r="E6" s="5" t="str">
        <f t="shared" si="0"/>
        <v>01</v>
      </c>
      <c r="F6" s="6" t="s">
        <v>8</v>
      </c>
      <c r="G6" s="6" t="s">
        <v>9</v>
      </c>
      <c r="H6" s="6">
        <v>78.400000000000006</v>
      </c>
      <c r="I6" s="6">
        <v>83.5</v>
      </c>
      <c r="J6" s="10">
        <f t="shared" si="1"/>
        <v>80.95</v>
      </c>
      <c r="K6" s="6"/>
    </row>
    <row r="7" spans="1:11" s="7" customFormat="1" ht="14.25" customHeight="1" x14ac:dyDescent="0.15">
      <c r="A7" s="5">
        <v>5</v>
      </c>
      <c r="B7" s="5" t="str">
        <f>"谭小康"</f>
        <v>谭小康</v>
      </c>
      <c r="C7" s="5" t="str">
        <f>"男"</f>
        <v>男</v>
      </c>
      <c r="D7" s="5" t="str">
        <f>"202301229405"</f>
        <v>202301229405</v>
      </c>
      <c r="E7" s="6" t="str">
        <f t="shared" ref="E7:E9" si="2">"02"</f>
        <v>02</v>
      </c>
      <c r="F7" s="5" t="s">
        <v>10</v>
      </c>
      <c r="G7" s="5" t="s">
        <v>9</v>
      </c>
      <c r="H7" s="5">
        <v>73.2</v>
      </c>
      <c r="I7" s="5">
        <v>79.8</v>
      </c>
      <c r="J7" s="10">
        <f t="shared" si="1"/>
        <v>76.5</v>
      </c>
      <c r="K7" s="5"/>
    </row>
    <row r="8" spans="1:11" s="7" customFormat="1" ht="14.25" customHeight="1" x14ac:dyDescent="0.15">
      <c r="A8" s="5">
        <v>6</v>
      </c>
      <c r="B8" s="5" t="str">
        <f>"李春梅"</f>
        <v>李春梅</v>
      </c>
      <c r="C8" s="5" t="str">
        <f>"女"</f>
        <v>女</v>
      </c>
      <c r="D8" s="5" t="str">
        <f>"202301229515"</f>
        <v>202301229515</v>
      </c>
      <c r="E8" s="6" t="str">
        <f t="shared" si="2"/>
        <v>02</v>
      </c>
      <c r="F8" s="5" t="s">
        <v>10</v>
      </c>
      <c r="G8" s="5" t="s">
        <v>9</v>
      </c>
      <c r="H8" s="5">
        <v>68.7</v>
      </c>
      <c r="I8" s="5">
        <v>77.599999999999994</v>
      </c>
      <c r="J8" s="10">
        <f t="shared" si="1"/>
        <v>73.150000000000006</v>
      </c>
      <c r="K8" s="5"/>
    </row>
    <row r="9" spans="1:11" ht="14.25" customHeight="1" x14ac:dyDescent="0.15">
      <c r="A9" s="5">
        <v>7</v>
      </c>
      <c r="B9" s="5" t="str">
        <f>"邹青书"</f>
        <v>邹青书</v>
      </c>
      <c r="C9" s="5" t="str">
        <f>"男"</f>
        <v>男</v>
      </c>
      <c r="D9" s="5" t="str">
        <f>"202301229524"</f>
        <v>202301229524</v>
      </c>
      <c r="E9" s="6" t="str">
        <f t="shared" si="2"/>
        <v>02</v>
      </c>
      <c r="F9" s="5" t="s">
        <v>10</v>
      </c>
      <c r="G9" s="5" t="s">
        <v>9</v>
      </c>
      <c r="H9" s="5">
        <v>65.150000000000006</v>
      </c>
      <c r="I9" s="5">
        <v>79.3</v>
      </c>
      <c r="J9" s="10">
        <f t="shared" si="1"/>
        <v>72.224999999999994</v>
      </c>
      <c r="K9" s="6"/>
    </row>
    <row r="10" spans="1:11" ht="14.25" customHeight="1" x14ac:dyDescent="0.15">
      <c r="A10" s="5">
        <v>8</v>
      </c>
      <c r="B10" s="6" t="str">
        <f>"王辉"</f>
        <v>王辉</v>
      </c>
      <c r="C10" s="6" t="str">
        <f>"男"</f>
        <v>男</v>
      </c>
      <c r="D10" s="6" t="str">
        <f>"202301229416"</f>
        <v>202301229416</v>
      </c>
      <c r="E10" s="6" t="str">
        <f t="shared" ref="E10" si="3">"02"</f>
        <v>02</v>
      </c>
      <c r="F10" s="6" t="s">
        <v>10</v>
      </c>
      <c r="G10" s="6" t="s">
        <v>9</v>
      </c>
      <c r="H10" s="6">
        <v>63.5</v>
      </c>
      <c r="I10" s="6">
        <v>83.8</v>
      </c>
      <c r="J10" s="10">
        <f t="shared" si="1"/>
        <v>73.650000000000006</v>
      </c>
      <c r="K10" s="6"/>
    </row>
    <row r="11" spans="1:11" ht="14.25" customHeight="1" x14ac:dyDescent="0.15">
      <c r="A11" s="5">
        <v>9</v>
      </c>
      <c r="B11" s="5" t="str">
        <f>"褚良"</f>
        <v>褚良</v>
      </c>
      <c r="C11" s="5" t="str">
        <f>"男"</f>
        <v>男</v>
      </c>
      <c r="D11" s="5" t="str">
        <f>"202301229034"</f>
        <v>202301229034</v>
      </c>
      <c r="E11" s="5" t="str">
        <f t="shared" ref="E11:E14" si="4">"03"</f>
        <v>03</v>
      </c>
      <c r="F11" s="5" t="s">
        <v>11</v>
      </c>
      <c r="G11" s="5" t="s">
        <v>9</v>
      </c>
      <c r="H11" s="5">
        <v>82.05</v>
      </c>
      <c r="I11" s="5" t="s">
        <v>55</v>
      </c>
      <c r="J11" s="10">
        <v>41.03</v>
      </c>
      <c r="K11" s="6"/>
    </row>
    <row r="12" spans="1:11" ht="14.25" customHeight="1" x14ac:dyDescent="0.15">
      <c r="A12" s="5">
        <v>10</v>
      </c>
      <c r="B12" s="6" t="str">
        <f>"胡宏斌"</f>
        <v>胡宏斌</v>
      </c>
      <c r="C12" s="6" t="str">
        <f>"男"</f>
        <v>男</v>
      </c>
      <c r="D12" s="6" t="str">
        <f>"202301228820"</f>
        <v>202301228820</v>
      </c>
      <c r="E12" s="5" t="str">
        <f t="shared" si="4"/>
        <v>03</v>
      </c>
      <c r="F12" s="6" t="s">
        <v>11</v>
      </c>
      <c r="G12" s="6" t="s">
        <v>9</v>
      </c>
      <c r="H12" s="6">
        <v>79.400000000000006</v>
      </c>
      <c r="I12" s="6">
        <v>81.099999999999994</v>
      </c>
      <c r="J12" s="10">
        <f t="shared" si="1"/>
        <v>80.25</v>
      </c>
      <c r="K12" s="6"/>
    </row>
    <row r="13" spans="1:11" ht="14.25" customHeight="1" x14ac:dyDescent="0.15">
      <c r="A13" s="5">
        <v>11</v>
      </c>
      <c r="B13" s="5" t="str">
        <f>"黄诗思"</f>
        <v>黄诗思</v>
      </c>
      <c r="C13" s="5" t="str">
        <f>"女"</f>
        <v>女</v>
      </c>
      <c r="D13" s="5" t="str">
        <f>"202301228822"</f>
        <v>202301228822</v>
      </c>
      <c r="E13" s="5" t="str">
        <f t="shared" si="4"/>
        <v>03</v>
      </c>
      <c r="F13" s="5" t="s">
        <v>11</v>
      </c>
      <c r="G13" s="5" t="s">
        <v>9</v>
      </c>
      <c r="H13" s="5">
        <v>79.400000000000006</v>
      </c>
      <c r="I13" s="5">
        <v>80.06</v>
      </c>
      <c r="J13" s="10">
        <f t="shared" si="1"/>
        <v>79.73</v>
      </c>
      <c r="K13" s="6"/>
    </row>
    <row r="14" spans="1:11" ht="14.25" customHeight="1" x14ac:dyDescent="0.15">
      <c r="A14" s="5">
        <v>12</v>
      </c>
      <c r="B14" s="5" t="s">
        <v>31</v>
      </c>
      <c r="C14" s="5" t="s">
        <v>26</v>
      </c>
      <c r="D14" s="5" t="s">
        <v>32</v>
      </c>
      <c r="E14" s="5" t="str">
        <f t="shared" si="4"/>
        <v>03</v>
      </c>
      <c r="F14" s="5" t="s">
        <v>11</v>
      </c>
      <c r="G14" s="5" t="s">
        <v>9</v>
      </c>
      <c r="H14" s="5">
        <v>79.2</v>
      </c>
      <c r="I14" s="6">
        <v>78.959999999999994</v>
      </c>
      <c r="J14" s="10">
        <f t="shared" si="1"/>
        <v>79.08</v>
      </c>
      <c r="K14" s="6"/>
    </row>
    <row r="15" spans="1:11" ht="14.25" customHeight="1" x14ac:dyDescent="0.15">
      <c r="A15" s="5">
        <v>13</v>
      </c>
      <c r="B15" s="5" t="str">
        <f>"陈诗芬"</f>
        <v>陈诗芬</v>
      </c>
      <c r="C15" s="5" t="str">
        <f t="shared" ref="C15:C19" si="5">"女"</f>
        <v>女</v>
      </c>
      <c r="D15" s="5" t="str">
        <f>"202301228627"</f>
        <v>202301228627</v>
      </c>
      <c r="E15" s="5" t="str">
        <f t="shared" ref="E15:E16" si="6">"04"</f>
        <v>04</v>
      </c>
      <c r="F15" s="5" t="s">
        <v>12</v>
      </c>
      <c r="G15" s="5" t="s">
        <v>9</v>
      </c>
      <c r="H15" s="5">
        <v>82.45</v>
      </c>
      <c r="I15" s="5" t="s">
        <v>57</v>
      </c>
      <c r="J15" s="10">
        <v>41.23</v>
      </c>
      <c r="K15" s="6"/>
    </row>
    <row r="16" spans="1:11" ht="14.25" customHeight="1" x14ac:dyDescent="0.15">
      <c r="A16" s="5">
        <v>14</v>
      </c>
      <c r="B16" s="5" t="str">
        <f>"石春兰"</f>
        <v>石春兰</v>
      </c>
      <c r="C16" s="5" t="str">
        <f t="shared" si="5"/>
        <v>女</v>
      </c>
      <c r="D16" s="5" t="str">
        <f>"202301228628"</f>
        <v>202301228628</v>
      </c>
      <c r="E16" s="5" t="str">
        <f t="shared" si="6"/>
        <v>04</v>
      </c>
      <c r="F16" s="5" t="s">
        <v>12</v>
      </c>
      <c r="G16" s="5" t="s">
        <v>9</v>
      </c>
      <c r="H16" s="5">
        <v>76.3</v>
      </c>
      <c r="I16" s="5" t="s">
        <v>58</v>
      </c>
      <c r="J16" s="10">
        <v>38.15</v>
      </c>
      <c r="K16" s="6"/>
    </row>
    <row r="17" spans="1:11" s="7" customFormat="1" ht="14.25" customHeight="1" x14ac:dyDescent="0.15">
      <c r="A17" s="5">
        <v>15</v>
      </c>
      <c r="B17" s="5" t="str">
        <f>"贺柳"</f>
        <v>贺柳</v>
      </c>
      <c r="C17" s="5" t="str">
        <f t="shared" si="5"/>
        <v>女</v>
      </c>
      <c r="D17" s="5" t="str">
        <f>"202301229123"</f>
        <v>202301229123</v>
      </c>
      <c r="E17" s="6" t="str">
        <f t="shared" ref="E17:E20" si="7">"05"</f>
        <v>05</v>
      </c>
      <c r="F17" s="5" t="s">
        <v>13</v>
      </c>
      <c r="G17" s="5" t="s">
        <v>9</v>
      </c>
      <c r="H17" s="5">
        <v>78.599999999999994</v>
      </c>
      <c r="I17" s="5">
        <v>81.180000000000007</v>
      </c>
      <c r="J17" s="10">
        <f t="shared" si="1"/>
        <v>79.89</v>
      </c>
      <c r="K17" s="5"/>
    </row>
    <row r="18" spans="1:11" s="7" customFormat="1" ht="14.25" customHeight="1" x14ac:dyDescent="0.15">
      <c r="A18" s="5">
        <v>16</v>
      </c>
      <c r="B18" s="5" t="str">
        <f>"刘也"</f>
        <v>刘也</v>
      </c>
      <c r="C18" s="5" t="str">
        <f t="shared" si="5"/>
        <v>女</v>
      </c>
      <c r="D18" s="5" t="str">
        <f>"202301229129"</f>
        <v>202301229129</v>
      </c>
      <c r="E18" s="6" t="str">
        <f t="shared" si="7"/>
        <v>05</v>
      </c>
      <c r="F18" s="5" t="s">
        <v>13</v>
      </c>
      <c r="G18" s="5" t="s">
        <v>9</v>
      </c>
      <c r="H18" s="5">
        <v>76.150000000000006</v>
      </c>
      <c r="I18" s="5">
        <v>80.22</v>
      </c>
      <c r="J18" s="10">
        <f t="shared" si="1"/>
        <v>78.185000000000002</v>
      </c>
      <c r="K18" s="5"/>
    </row>
    <row r="19" spans="1:11" ht="14.25" customHeight="1" x14ac:dyDescent="0.15">
      <c r="A19" s="5">
        <v>17</v>
      </c>
      <c r="B19" s="5" t="str">
        <f>"王涵"</f>
        <v>王涵</v>
      </c>
      <c r="C19" s="5" t="str">
        <f t="shared" si="5"/>
        <v>女</v>
      </c>
      <c r="D19" s="5" t="str">
        <f>"202301229122"</f>
        <v>202301229122</v>
      </c>
      <c r="E19" s="6" t="str">
        <f t="shared" si="7"/>
        <v>05</v>
      </c>
      <c r="F19" s="5" t="s">
        <v>13</v>
      </c>
      <c r="G19" s="5" t="s">
        <v>9</v>
      </c>
      <c r="H19" s="5">
        <v>75.849999999999994</v>
      </c>
      <c r="I19" s="5">
        <v>83.66</v>
      </c>
      <c r="J19" s="10">
        <f t="shared" si="1"/>
        <v>79.754999999999995</v>
      </c>
      <c r="K19" s="6"/>
    </row>
    <row r="20" spans="1:11" ht="14.25" customHeight="1" x14ac:dyDescent="0.15">
      <c r="A20" s="5">
        <v>18</v>
      </c>
      <c r="B20" s="5" t="s">
        <v>33</v>
      </c>
      <c r="C20" s="5" t="s">
        <v>30</v>
      </c>
      <c r="D20" s="6" t="s">
        <v>34</v>
      </c>
      <c r="E20" s="6" t="str">
        <f t="shared" si="7"/>
        <v>05</v>
      </c>
      <c r="F20" s="5" t="s">
        <v>13</v>
      </c>
      <c r="G20" s="5" t="s">
        <v>9</v>
      </c>
      <c r="H20" s="5">
        <v>70.400000000000006</v>
      </c>
      <c r="I20" s="6">
        <v>78.459999999999994</v>
      </c>
      <c r="J20" s="10">
        <f t="shared" si="1"/>
        <v>74.430000000000007</v>
      </c>
      <c r="K20" s="6"/>
    </row>
    <row r="21" spans="1:11" s="7" customFormat="1" ht="14.25" customHeight="1" x14ac:dyDescent="0.15">
      <c r="A21" s="5">
        <v>19</v>
      </c>
      <c r="B21" s="5" t="str">
        <f>"万之璇"</f>
        <v>万之璇</v>
      </c>
      <c r="C21" s="5" t="str">
        <f>"女"</f>
        <v>女</v>
      </c>
      <c r="D21" s="5" t="str">
        <f>"202301229603"</f>
        <v>202301229603</v>
      </c>
      <c r="E21" s="5" t="str">
        <f t="shared" ref="E21:E23" si="8">"06"</f>
        <v>06</v>
      </c>
      <c r="F21" s="5" t="s">
        <v>14</v>
      </c>
      <c r="G21" s="5" t="s">
        <v>9</v>
      </c>
      <c r="H21" s="5">
        <v>85.25</v>
      </c>
      <c r="I21" s="5">
        <v>84.3</v>
      </c>
      <c r="J21" s="10">
        <f t="shared" si="1"/>
        <v>84.775000000000006</v>
      </c>
      <c r="K21" s="5"/>
    </row>
    <row r="22" spans="1:11" s="7" customFormat="1" ht="14.25" customHeight="1" x14ac:dyDescent="0.15">
      <c r="A22" s="5">
        <v>20</v>
      </c>
      <c r="B22" s="5" t="str">
        <f>"涂金龙"</f>
        <v>涂金龙</v>
      </c>
      <c r="C22" s="5" t="str">
        <f t="shared" ref="C22:C24" si="9">"男"</f>
        <v>男</v>
      </c>
      <c r="D22" s="5" t="str">
        <f>"202301229530"</f>
        <v>202301229530</v>
      </c>
      <c r="E22" s="5" t="str">
        <f t="shared" si="8"/>
        <v>06</v>
      </c>
      <c r="F22" s="5" t="s">
        <v>14</v>
      </c>
      <c r="G22" s="5" t="s">
        <v>9</v>
      </c>
      <c r="H22" s="5">
        <v>82.3</v>
      </c>
      <c r="I22" s="5" t="s">
        <v>57</v>
      </c>
      <c r="J22" s="10">
        <v>41.15</v>
      </c>
      <c r="K22" s="5"/>
    </row>
    <row r="23" spans="1:11" s="7" customFormat="1" ht="14.25" customHeight="1" x14ac:dyDescent="0.15">
      <c r="A23" s="5">
        <v>21</v>
      </c>
      <c r="B23" s="5" t="str">
        <f>"周文俊"</f>
        <v>周文俊</v>
      </c>
      <c r="C23" s="5" t="str">
        <f t="shared" si="9"/>
        <v>男</v>
      </c>
      <c r="D23" s="5" t="str">
        <f>"202301229534"</f>
        <v>202301229534</v>
      </c>
      <c r="E23" s="5" t="str">
        <f t="shared" si="8"/>
        <v>06</v>
      </c>
      <c r="F23" s="5" t="s">
        <v>14</v>
      </c>
      <c r="G23" s="5" t="s">
        <v>9</v>
      </c>
      <c r="H23" s="5">
        <v>78.349999999999994</v>
      </c>
      <c r="I23" s="5">
        <v>79.72</v>
      </c>
      <c r="J23" s="10">
        <f t="shared" si="1"/>
        <v>79.034999999999997</v>
      </c>
      <c r="K23" s="5"/>
    </row>
    <row r="24" spans="1:11" s="7" customFormat="1" ht="14.25" customHeight="1" x14ac:dyDescent="0.15">
      <c r="A24" s="5">
        <v>22</v>
      </c>
      <c r="B24" s="6" t="str">
        <f>"伍建春"</f>
        <v>伍建春</v>
      </c>
      <c r="C24" s="6" t="str">
        <f t="shared" si="9"/>
        <v>男</v>
      </c>
      <c r="D24" s="6" t="str">
        <f>"202301229613"</f>
        <v>202301229613</v>
      </c>
      <c r="E24" s="5" t="str">
        <f t="shared" ref="E24" si="10">"06"</f>
        <v>06</v>
      </c>
      <c r="F24" s="6" t="s">
        <v>14</v>
      </c>
      <c r="G24" s="6" t="s">
        <v>9</v>
      </c>
      <c r="H24" s="6">
        <v>78.05</v>
      </c>
      <c r="I24" s="5">
        <v>79.400000000000006</v>
      </c>
      <c r="J24" s="10">
        <f t="shared" si="1"/>
        <v>78.724999999999994</v>
      </c>
      <c r="K24" s="5"/>
    </row>
    <row r="25" spans="1:11" s="7" customFormat="1" ht="14.25" customHeight="1" x14ac:dyDescent="0.15">
      <c r="A25" s="5">
        <v>23</v>
      </c>
      <c r="B25" s="5" t="str">
        <f>"王春霖"</f>
        <v>王春霖</v>
      </c>
      <c r="C25" s="5" t="str">
        <f t="shared" ref="C25:C26" si="11">"女"</f>
        <v>女</v>
      </c>
      <c r="D25" s="5" t="str">
        <f>"202301228624"</f>
        <v>202301228624</v>
      </c>
      <c r="E25" s="6" t="str">
        <f t="shared" ref="E25:E26" si="12">"07"</f>
        <v>07</v>
      </c>
      <c r="F25" s="5" t="s">
        <v>15</v>
      </c>
      <c r="G25" s="5" t="s">
        <v>9</v>
      </c>
      <c r="H25" s="5">
        <v>73.900000000000006</v>
      </c>
      <c r="I25" s="5">
        <v>80.02</v>
      </c>
      <c r="J25" s="10">
        <f t="shared" si="1"/>
        <v>76.960000000000008</v>
      </c>
      <c r="K25" s="5"/>
    </row>
    <row r="26" spans="1:11" s="7" customFormat="1" ht="14.25" customHeight="1" x14ac:dyDescent="0.15">
      <c r="A26" s="5">
        <v>24</v>
      </c>
      <c r="B26" s="5" t="str">
        <f>"秦璐"</f>
        <v>秦璐</v>
      </c>
      <c r="C26" s="5" t="str">
        <f t="shared" si="11"/>
        <v>女</v>
      </c>
      <c r="D26" s="5" t="str">
        <f>"202301228618"</f>
        <v>202301228618</v>
      </c>
      <c r="E26" s="6" t="str">
        <f t="shared" si="12"/>
        <v>07</v>
      </c>
      <c r="F26" s="5" t="s">
        <v>15</v>
      </c>
      <c r="G26" s="5" t="s">
        <v>9</v>
      </c>
      <c r="H26" s="5">
        <v>62.5</v>
      </c>
      <c r="I26" s="5">
        <v>78.92</v>
      </c>
      <c r="J26" s="10">
        <f t="shared" si="1"/>
        <v>70.710000000000008</v>
      </c>
      <c r="K26" s="5"/>
    </row>
    <row r="27" spans="1:11" ht="14.25" customHeight="1" x14ac:dyDescent="0.15">
      <c r="A27" s="5">
        <v>25</v>
      </c>
      <c r="B27" s="6" t="str">
        <f>"张婧芳"</f>
        <v>张婧芳</v>
      </c>
      <c r="C27" s="6" t="str">
        <f t="shared" ref="C27:C32" si="13">"女"</f>
        <v>女</v>
      </c>
      <c r="D27" s="6" t="str">
        <f>"202301220133"</f>
        <v>202301220133</v>
      </c>
      <c r="E27" s="5" t="str">
        <f t="shared" ref="E27:E34" si="14">"08"</f>
        <v>08</v>
      </c>
      <c r="F27" s="6" t="s">
        <v>8</v>
      </c>
      <c r="G27" s="6" t="s">
        <v>16</v>
      </c>
      <c r="H27" s="6">
        <v>84.75</v>
      </c>
      <c r="I27" s="6">
        <v>77.72</v>
      </c>
      <c r="J27" s="10">
        <f t="shared" si="1"/>
        <v>81.234999999999999</v>
      </c>
      <c r="K27" s="6"/>
    </row>
    <row r="28" spans="1:11" s="7" customFormat="1" ht="14.25" customHeight="1" x14ac:dyDescent="0.15">
      <c r="A28" s="5">
        <v>26</v>
      </c>
      <c r="B28" s="5" t="str">
        <f>"何瑷琳"</f>
        <v>何瑷琳</v>
      </c>
      <c r="C28" s="5" t="str">
        <f t="shared" si="13"/>
        <v>女</v>
      </c>
      <c r="D28" s="5" t="str">
        <f>"202301220310"</f>
        <v>202301220310</v>
      </c>
      <c r="E28" s="5" t="str">
        <f t="shared" si="14"/>
        <v>08</v>
      </c>
      <c r="F28" s="5" t="s">
        <v>8</v>
      </c>
      <c r="G28" s="5" t="s">
        <v>16</v>
      </c>
      <c r="H28" s="5">
        <v>84.25</v>
      </c>
      <c r="I28" s="5" t="s">
        <v>55</v>
      </c>
      <c r="J28" s="10">
        <v>42.13</v>
      </c>
      <c r="K28" s="5"/>
    </row>
    <row r="29" spans="1:11" ht="14.25" customHeight="1" x14ac:dyDescent="0.15">
      <c r="A29" s="5">
        <v>27</v>
      </c>
      <c r="B29" s="5" t="str">
        <f>"李妮妮"</f>
        <v>李妮妮</v>
      </c>
      <c r="C29" s="5" t="str">
        <f t="shared" si="13"/>
        <v>女</v>
      </c>
      <c r="D29" s="5" t="str">
        <f>"202301220413"</f>
        <v>202301220413</v>
      </c>
      <c r="E29" s="5" t="str">
        <f t="shared" si="14"/>
        <v>08</v>
      </c>
      <c r="F29" s="5" t="s">
        <v>8</v>
      </c>
      <c r="G29" s="5" t="s">
        <v>16</v>
      </c>
      <c r="H29" s="5">
        <v>84.25</v>
      </c>
      <c r="I29" s="5">
        <v>78.28</v>
      </c>
      <c r="J29" s="10">
        <f t="shared" si="1"/>
        <v>81.265000000000001</v>
      </c>
      <c r="K29" s="6"/>
    </row>
    <row r="30" spans="1:11" s="7" customFormat="1" ht="14.25" customHeight="1" x14ac:dyDescent="0.15">
      <c r="A30" s="5">
        <v>28</v>
      </c>
      <c r="B30" s="5" t="str">
        <f>"欧婷凤"</f>
        <v>欧婷凤</v>
      </c>
      <c r="C30" s="5" t="str">
        <f t="shared" si="13"/>
        <v>女</v>
      </c>
      <c r="D30" s="5" t="str">
        <f>"202301220434"</f>
        <v>202301220434</v>
      </c>
      <c r="E30" s="5" t="str">
        <f t="shared" si="14"/>
        <v>08</v>
      </c>
      <c r="F30" s="5" t="s">
        <v>8</v>
      </c>
      <c r="G30" s="5" t="s">
        <v>16</v>
      </c>
      <c r="H30" s="5">
        <v>83.75</v>
      </c>
      <c r="I30" s="5">
        <v>83.92</v>
      </c>
      <c r="J30" s="10">
        <f t="shared" si="1"/>
        <v>83.835000000000008</v>
      </c>
      <c r="K30" s="5"/>
    </row>
    <row r="31" spans="1:11" s="7" customFormat="1" ht="14.25" customHeight="1" x14ac:dyDescent="0.15">
      <c r="A31" s="5">
        <v>29</v>
      </c>
      <c r="B31" s="5" t="str">
        <f>"伍玲玲"</f>
        <v>伍玲玲</v>
      </c>
      <c r="C31" s="5" t="str">
        <f t="shared" si="13"/>
        <v>女</v>
      </c>
      <c r="D31" s="5" t="str">
        <f>"202301220427"</f>
        <v>202301220427</v>
      </c>
      <c r="E31" s="5" t="str">
        <f t="shared" si="14"/>
        <v>08</v>
      </c>
      <c r="F31" s="5" t="s">
        <v>8</v>
      </c>
      <c r="G31" s="5" t="s">
        <v>16</v>
      </c>
      <c r="H31" s="5">
        <v>83.65</v>
      </c>
      <c r="I31" s="5">
        <v>79.92</v>
      </c>
      <c r="J31" s="10">
        <f t="shared" si="1"/>
        <v>81.784999999999997</v>
      </c>
      <c r="K31" s="5"/>
    </row>
    <row r="32" spans="1:11" s="7" customFormat="1" ht="14.25" customHeight="1" x14ac:dyDescent="0.15">
      <c r="A32" s="5">
        <v>30</v>
      </c>
      <c r="B32" s="5" t="str">
        <f>"李婷燕"</f>
        <v>李婷燕</v>
      </c>
      <c r="C32" s="5" t="str">
        <f t="shared" si="13"/>
        <v>女</v>
      </c>
      <c r="D32" s="5" t="str">
        <f>"202301220607"</f>
        <v>202301220607</v>
      </c>
      <c r="E32" s="5" t="str">
        <f t="shared" si="14"/>
        <v>08</v>
      </c>
      <c r="F32" s="5" t="s">
        <v>8</v>
      </c>
      <c r="G32" s="5" t="s">
        <v>16</v>
      </c>
      <c r="H32" s="5">
        <v>83.05</v>
      </c>
      <c r="I32" s="5">
        <v>78.3</v>
      </c>
      <c r="J32" s="10">
        <f t="shared" si="1"/>
        <v>80.674999999999997</v>
      </c>
      <c r="K32" s="5"/>
    </row>
    <row r="33" spans="1:11" s="7" customFormat="1" ht="14.25" customHeight="1" x14ac:dyDescent="0.15">
      <c r="A33" s="5">
        <v>31</v>
      </c>
      <c r="B33" s="5" t="s">
        <v>35</v>
      </c>
      <c r="C33" s="5" t="s">
        <v>26</v>
      </c>
      <c r="D33" s="5" t="s">
        <v>36</v>
      </c>
      <c r="E33" s="5" t="str">
        <f t="shared" si="14"/>
        <v>08</v>
      </c>
      <c r="F33" s="5" t="s">
        <v>8</v>
      </c>
      <c r="G33" s="5" t="s">
        <v>16</v>
      </c>
      <c r="H33" s="5">
        <v>82.5</v>
      </c>
      <c r="I33" s="5">
        <v>84.26</v>
      </c>
      <c r="J33" s="10">
        <f t="shared" si="1"/>
        <v>83.38</v>
      </c>
      <c r="K33" s="5"/>
    </row>
    <row r="34" spans="1:11" s="7" customFormat="1" ht="14.25" customHeight="1" x14ac:dyDescent="0.15">
      <c r="A34" s="5">
        <v>32</v>
      </c>
      <c r="B34" s="5" t="s">
        <v>37</v>
      </c>
      <c r="C34" s="5" t="s">
        <v>26</v>
      </c>
      <c r="D34" s="5" t="s">
        <v>38</v>
      </c>
      <c r="E34" s="5" t="str">
        <f t="shared" si="14"/>
        <v>08</v>
      </c>
      <c r="F34" s="5" t="s">
        <v>8</v>
      </c>
      <c r="G34" s="5" t="s">
        <v>16</v>
      </c>
      <c r="H34" s="5">
        <v>82</v>
      </c>
      <c r="I34" s="5">
        <v>79.2</v>
      </c>
      <c r="J34" s="10">
        <f t="shared" si="1"/>
        <v>80.599999999999994</v>
      </c>
      <c r="K34" s="5"/>
    </row>
    <row r="35" spans="1:11" ht="14.25" customHeight="1" x14ac:dyDescent="0.15">
      <c r="A35" s="5">
        <v>33</v>
      </c>
      <c r="B35" s="6" t="str">
        <f>"唐文静"</f>
        <v>唐文静</v>
      </c>
      <c r="C35" s="6" t="str">
        <f>"女"</f>
        <v>女</v>
      </c>
      <c r="D35" s="6" t="str">
        <f>"202301220934"</f>
        <v>202301220934</v>
      </c>
      <c r="E35" s="5" t="str">
        <f t="shared" ref="E35:E42" si="15">"09"</f>
        <v>09</v>
      </c>
      <c r="F35" s="6" t="s">
        <v>10</v>
      </c>
      <c r="G35" s="6" t="s">
        <v>16</v>
      </c>
      <c r="H35" s="6">
        <v>86.2</v>
      </c>
      <c r="I35" s="6" t="s">
        <v>59</v>
      </c>
      <c r="J35" s="10">
        <v>43.1</v>
      </c>
      <c r="K35" s="6"/>
    </row>
    <row r="36" spans="1:11" ht="14.25" customHeight="1" x14ac:dyDescent="0.15">
      <c r="A36" s="5">
        <v>34</v>
      </c>
      <c r="B36" s="5" t="str">
        <f>"于志芳"</f>
        <v>于志芳</v>
      </c>
      <c r="C36" s="5" t="str">
        <f>"女"</f>
        <v>女</v>
      </c>
      <c r="D36" s="5" t="str">
        <f>"202301220709"</f>
        <v>202301220709</v>
      </c>
      <c r="E36" s="5" t="str">
        <f t="shared" si="15"/>
        <v>09</v>
      </c>
      <c r="F36" s="5" t="s">
        <v>10</v>
      </c>
      <c r="G36" s="5" t="s">
        <v>16</v>
      </c>
      <c r="H36" s="5">
        <v>85.45</v>
      </c>
      <c r="I36" s="5">
        <v>79.099999999999994</v>
      </c>
      <c r="J36" s="10">
        <f t="shared" si="1"/>
        <v>82.275000000000006</v>
      </c>
      <c r="K36" s="6"/>
    </row>
    <row r="37" spans="1:11" s="7" customFormat="1" ht="14.25" customHeight="1" x14ac:dyDescent="0.15">
      <c r="A37" s="5">
        <v>35</v>
      </c>
      <c r="B37" s="5" t="str">
        <f>"彭唐妮"</f>
        <v>彭唐妮</v>
      </c>
      <c r="C37" s="5" t="str">
        <f>"女"</f>
        <v>女</v>
      </c>
      <c r="D37" s="5" t="str">
        <f>"202301220922"</f>
        <v>202301220922</v>
      </c>
      <c r="E37" s="5" t="str">
        <f t="shared" si="15"/>
        <v>09</v>
      </c>
      <c r="F37" s="5" t="s">
        <v>10</v>
      </c>
      <c r="G37" s="5" t="s">
        <v>16</v>
      </c>
      <c r="H37" s="5">
        <v>82.95</v>
      </c>
      <c r="I37" s="5">
        <v>83.8</v>
      </c>
      <c r="J37" s="10">
        <f t="shared" si="1"/>
        <v>83.375</v>
      </c>
      <c r="K37" s="5"/>
    </row>
    <row r="38" spans="1:11" s="7" customFormat="1" ht="14.25" customHeight="1" x14ac:dyDescent="0.15">
      <c r="A38" s="5">
        <v>36</v>
      </c>
      <c r="B38" s="5" t="str">
        <f>"涂雅卓"</f>
        <v>涂雅卓</v>
      </c>
      <c r="C38" s="5" t="str">
        <f>"女"</f>
        <v>女</v>
      </c>
      <c r="D38" s="5" t="str">
        <f>"202301220815"</f>
        <v>202301220815</v>
      </c>
      <c r="E38" s="5" t="str">
        <f t="shared" si="15"/>
        <v>09</v>
      </c>
      <c r="F38" s="5" t="s">
        <v>10</v>
      </c>
      <c r="G38" s="5" t="s">
        <v>16</v>
      </c>
      <c r="H38" s="5">
        <v>81.45</v>
      </c>
      <c r="I38" s="5" t="s">
        <v>60</v>
      </c>
      <c r="J38" s="10">
        <v>40.729999999999997</v>
      </c>
      <c r="K38" s="5"/>
    </row>
    <row r="39" spans="1:11" ht="14.25" customHeight="1" x14ac:dyDescent="0.15">
      <c r="A39" s="5">
        <v>37</v>
      </c>
      <c r="B39" s="5" t="str">
        <f>"周紫艳"</f>
        <v>周紫艳</v>
      </c>
      <c r="C39" s="5" t="str">
        <f>"女"</f>
        <v>女</v>
      </c>
      <c r="D39" s="5" t="str">
        <f>"202301220929"</f>
        <v>202301220929</v>
      </c>
      <c r="E39" s="5" t="str">
        <f t="shared" si="15"/>
        <v>09</v>
      </c>
      <c r="F39" s="5" t="s">
        <v>10</v>
      </c>
      <c r="G39" s="5" t="s">
        <v>16</v>
      </c>
      <c r="H39" s="5">
        <v>78.900000000000006</v>
      </c>
      <c r="I39" s="5">
        <v>78.7</v>
      </c>
      <c r="J39" s="10">
        <f t="shared" si="1"/>
        <v>78.800000000000011</v>
      </c>
      <c r="K39" s="6"/>
    </row>
    <row r="40" spans="1:11" ht="14.25" customHeight="1" x14ac:dyDescent="0.15">
      <c r="A40" s="5">
        <v>38</v>
      </c>
      <c r="B40" s="5" t="s">
        <v>39</v>
      </c>
      <c r="C40" s="5" t="s">
        <v>26</v>
      </c>
      <c r="D40" s="5" t="s">
        <v>41</v>
      </c>
      <c r="E40" s="5" t="str">
        <f t="shared" si="15"/>
        <v>09</v>
      </c>
      <c r="F40" s="5" t="s">
        <v>10</v>
      </c>
      <c r="G40" s="5" t="s">
        <v>16</v>
      </c>
      <c r="H40" s="5">
        <v>76.45</v>
      </c>
      <c r="I40" s="5">
        <v>77.599999999999994</v>
      </c>
      <c r="J40" s="10">
        <f t="shared" si="1"/>
        <v>77.025000000000006</v>
      </c>
      <c r="K40" s="6"/>
    </row>
    <row r="41" spans="1:11" ht="14.25" customHeight="1" x14ac:dyDescent="0.15">
      <c r="A41" s="5">
        <v>39</v>
      </c>
      <c r="B41" s="5" t="s">
        <v>40</v>
      </c>
      <c r="C41" s="5" t="s">
        <v>26</v>
      </c>
      <c r="D41" s="5" t="s">
        <v>42</v>
      </c>
      <c r="E41" s="5" t="str">
        <f t="shared" si="15"/>
        <v>09</v>
      </c>
      <c r="F41" s="5" t="s">
        <v>10</v>
      </c>
      <c r="G41" s="5" t="s">
        <v>16</v>
      </c>
      <c r="H41" s="5">
        <v>75.45</v>
      </c>
      <c r="I41" s="5" t="s">
        <v>55</v>
      </c>
      <c r="J41" s="10">
        <v>37.729999999999997</v>
      </c>
      <c r="K41" s="6"/>
    </row>
    <row r="42" spans="1:11" ht="14.25" customHeight="1" x14ac:dyDescent="0.15">
      <c r="A42" s="5">
        <v>40</v>
      </c>
      <c r="B42" s="5" t="s">
        <v>46</v>
      </c>
      <c r="C42" s="5" t="s">
        <v>30</v>
      </c>
      <c r="D42" s="5" t="s">
        <v>47</v>
      </c>
      <c r="E42" s="5" t="str">
        <f t="shared" si="15"/>
        <v>09</v>
      </c>
      <c r="F42" s="5" t="s">
        <v>10</v>
      </c>
      <c r="G42" s="5" t="s">
        <v>16</v>
      </c>
      <c r="H42" s="5">
        <v>73.7</v>
      </c>
      <c r="I42" s="6">
        <v>80.2</v>
      </c>
      <c r="J42" s="10">
        <f t="shared" si="1"/>
        <v>76.95</v>
      </c>
      <c r="K42" s="6"/>
    </row>
    <row r="43" spans="1:11" s="7" customFormat="1" ht="14.25" customHeight="1" x14ac:dyDescent="0.15">
      <c r="A43" s="5">
        <v>41</v>
      </c>
      <c r="B43" s="5" t="str">
        <f>"朱怡"</f>
        <v>朱怡</v>
      </c>
      <c r="C43" s="5" t="str">
        <f t="shared" ref="C43:C50" si="16">"女"</f>
        <v>女</v>
      </c>
      <c r="D43" s="5" t="str">
        <f>"202301221608"</f>
        <v>202301221608</v>
      </c>
      <c r="E43" s="5" t="str">
        <f t="shared" ref="E43:E50" si="17">"10"</f>
        <v>10</v>
      </c>
      <c r="F43" s="5" t="s">
        <v>11</v>
      </c>
      <c r="G43" s="5" t="s">
        <v>16</v>
      </c>
      <c r="H43" s="5">
        <v>87.95</v>
      </c>
      <c r="I43" s="5">
        <v>78.86</v>
      </c>
      <c r="J43" s="10">
        <f t="shared" si="1"/>
        <v>83.405000000000001</v>
      </c>
      <c r="K43" s="5"/>
    </row>
    <row r="44" spans="1:11" s="7" customFormat="1" ht="14.25" customHeight="1" x14ac:dyDescent="0.15">
      <c r="A44" s="5">
        <v>42</v>
      </c>
      <c r="B44" s="5" t="str">
        <f>"唐妍"</f>
        <v>唐妍</v>
      </c>
      <c r="C44" s="5" t="str">
        <f t="shared" si="16"/>
        <v>女</v>
      </c>
      <c r="D44" s="5" t="str">
        <f>"202301222134"</f>
        <v>202301222134</v>
      </c>
      <c r="E44" s="5" t="str">
        <f t="shared" si="17"/>
        <v>10</v>
      </c>
      <c r="F44" s="5" t="s">
        <v>11</v>
      </c>
      <c r="G44" s="5" t="s">
        <v>16</v>
      </c>
      <c r="H44" s="5">
        <v>87</v>
      </c>
      <c r="I44" s="5">
        <v>84.5</v>
      </c>
      <c r="J44" s="10">
        <f t="shared" si="1"/>
        <v>85.75</v>
      </c>
      <c r="K44" s="5"/>
    </row>
    <row r="45" spans="1:11" ht="14.25" customHeight="1" x14ac:dyDescent="0.15">
      <c r="A45" s="5">
        <v>43</v>
      </c>
      <c r="B45" s="5" t="str">
        <f>"卿思庭"</f>
        <v>卿思庭</v>
      </c>
      <c r="C45" s="5" t="str">
        <f t="shared" si="16"/>
        <v>女</v>
      </c>
      <c r="D45" s="5" t="str">
        <f>"202301221803"</f>
        <v>202301221803</v>
      </c>
      <c r="E45" s="5" t="str">
        <f t="shared" si="17"/>
        <v>10</v>
      </c>
      <c r="F45" s="5" t="s">
        <v>11</v>
      </c>
      <c r="G45" s="5" t="s">
        <v>16</v>
      </c>
      <c r="H45" s="5">
        <v>86.05</v>
      </c>
      <c r="I45" s="5">
        <v>78.260000000000005</v>
      </c>
      <c r="J45" s="10">
        <f t="shared" si="1"/>
        <v>82.155000000000001</v>
      </c>
      <c r="K45" s="6"/>
    </row>
    <row r="46" spans="1:11" ht="14.25" customHeight="1" x14ac:dyDescent="0.15">
      <c r="A46" s="5">
        <v>44</v>
      </c>
      <c r="B46" s="5" t="str">
        <f>"唐小丽"</f>
        <v>唐小丽</v>
      </c>
      <c r="C46" s="5" t="str">
        <f t="shared" si="16"/>
        <v>女</v>
      </c>
      <c r="D46" s="5" t="str">
        <f>"202301221513"</f>
        <v>202301221513</v>
      </c>
      <c r="E46" s="5" t="str">
        <f t="shared" si="17"/>
        <v>10</v>
      </c>
      <c r="F46" s="5" t="s">
        <v>11</v>
      </c>
      <c r="G46" s="5" t="s">
        <v>16</v>
      </c>
      <c r="H46" s="5">
        <v>85.55</v>
      </c>
      <c r="I46" s="5">
        <v>80.42</v>
      </c>
      <c r="J46" s="10">
        <f t="shared" si="1"/>
        <v>82.984999999999999</v>
      </c>
      <c r="K46" s="6"/>
    </row>
    <row r="47" spans="1:11" s="7" customFormat="1" ht="14.25" customHeight="1" x14ac:dyDescent="0.15">
      <c r="A47" s="5">
        <v>45</v>
      </c>
      <c r="B47" s="5" t="str">
        <f>"邱佳夷"</f>
        <v>邱佳夷</v>
      </c>
      <c r="C47" s="5" t="str">
        <f t="shared" si="16"/>
        <v>女</v>
      </c>
      <c r="D47" s="5" t="str">
        <f>"202301221126"</f>
        <v>202301221126</v>
      </c>
      <c r="E47" s="5" t="str">
        <f t="shared" si="17"/>
        <v>10</v>
      </c>
      <c r="F47" s="5" t="s">
        <v>11</v>
      </c>
      <c r="G47" s="5" t="s">
        <v>16</v>
      </c>
      <c r="H47" s="5">
        <v>85.4</v>
      </c>
      <c r="I47" s="5">
        <v>80.58</v>
      </c>
      <c r="J47" s="10">
        <f t="shared" si="1"/>
        <v>82.990000000000009</v>
      </c>
      <c r="K47" s="5"/>
    </row>
    <row r="48" spans="1:11" ht="14.25" customHeight="1" x14ac:dyDescent="0.15">
      <c r="A48" s="5">
        <v>46</v>
      </c>
      <c r="B48" s="6" t="str">
        <f>"刘嘉"</f>
        <v>刘嘉</v>
      </c>
      <c r="C48" s="6" t="str">
        <f t="shared" si="16"/>
        <v>女</v>
      </c>
      <c r="D48" s="6" t="str">
        <f>"202301221231"</f>
        <v>202301221231</v>
      </c>
      <c r="E48" s="6" t="str">
        <f t="shared" si="17"/>
        <v>10</v>
      </c>
      <c r="F48" s="6" t="s">
        <v>11</v>
      </c>
      <c r="G48" s="6" t="s">
        <v>16</v>
      </c>
      <c r="H48" s="6">
        <v>85.35</v>
      </c>
      <c r="I48" s="6">
        <v>79.66</v>
      </c>
      <c r="J48" s="10">
        <f t="shared" si="1"/>
        <v>82.504999999999995</v>
      </c>
      <c r="K48" s="6"/>
    </row>
    <row r="49" spans="1:11" s="7" customFormat="1" ht="14.25" customHeight="1" x14ac:dyDescent="0.15">
      <c r="A49" s="5">
        <v>47</v>
      </c>
      <c r="B49" s="5" t="str">
        <f>"李君洁"</f>
        <v>李君洁</v>
      </c>
      <c r="C49" s="5" t="str">
        <f t="shared" si="16"/>
        <v>女</v>
      </c>
      <c r="D49" s="5" t="str">
        <f>"202301221918"</f>
        <v>202301221918</v>
      </c>
      <c r="E49" s="5" t="str">
        <f t="shared" si="17"/>
        <v>10</v>
      </c>
      <c r="F49" s="5" t="s">
        <v>11</v>
      </c>
      <c r="G49" s="5" t="s">
        <v>16</v>
      </c>
      <c r="H49" s="5">
        <v>85.25</v>
      </c>
      <c r="I49" s="5">
        <v>80</v>
      </c>
      <c r="J49" s="10">
        <f t="shared" si="1"/>
        <v>82.625</v>
      </c>
      <c r="K49" s="5"/>
    </row>
    <row r="50" spans="1:11" s="7" customFormat="1" ht="14.25" customHeight="1" x14ac:dyDescent="0.15">
      <c r="A50" s="5">
        <v>48</v>
      </c>
      <c r="B50" s="5" t="str">
        <f>"陈婧"</f>
        <v>陈婧</v>
      </c>
      <c r="C50" s="5" t="str">
        <f t="shared" si="16"/>
        <v>女</v>
      </c>
      <c r="D50" s="5" t="str">
        <f>"202301222201"</f>
        <v>202301222201</v>
      </c>
      <c r="E50" s="5" t="str">
        <f t="shared" si="17"/>
        <v>10</v>
      </c>
      <c r="F50" s="5" t="s">
        <v>11</v>
      </c>
      <c r="G50" s="5" t="s">
        <v>16</v>
      </c>
      <c r="H50" s="5">
        <v>85.25</v>
      </c>
      <c r="I50" s="5">
        <v>80.72</v>
      </c>
      <c r="J50" s="10">
        <f t="shared" si="1"/>
        <v>82.984999999999999</v>
      </c>
      <c r="K50" s="5"/>
    </row>
    <row r="51" spans="1:11" ht="14.25" customHeight="1" x14ac:dyDescent="0.15">
      <c r="A51" s="5">
        <v>49</v>
      </c>
      <c r="B51" s="5" t="str">
        <f>"赵欢"</f>
        <v>赵欢</v>
      </c>
      <c r="C51" s="5" t="str">
        <f t="shared" ref="C51:C54" si="18">"女"</f>
        <v>女</v>
      </c>
      <c r="D51" s="5" t="str">
        <f>"202301224933"</f>
        <v>202301224933</v>
      </c>
      <c r="E51" s="5" t="str">
        <f t="shared" ref="E51:E54" si="19">"11"</f>
        <v>11</v>
      </c>
      <c r="F51" s="5" t="s">
        <v>12</v>
      </c>
      <c r="G51" s="5" t="s">
        <v>16</v>
      </c>
      <c r="H51" s="5">
        <v>83.2</v>
      </c>
      <c r="I51" s="5">
        <v>83.58</v>
      </c>
      <c r="J51" s="10">
        <f t="shared" si="1"/>
        <v>83.39</v>
      </c>
      <c r="K51" s="6"/>
    </row>
    <row r="52" spans="1:11" s="7" customFormat="1" ht="14.25" customHeight="1" x14ac:dyDescent="0.15">
      <c r="A52" s="5">
        <v>50</v>
      </c>
      <c r="B52" s="5" t="str">
        <f>"李靓婧"</f>
        <v>李靓婧</v>
      </c>
      <c r="C52" s="5" t="str">
        <f t="shared" si="18"/>
        <v>女</v>
      </c>
      <c r="D52" s="5" t="str">
        <f>"202301224925"</f>
        <v>202301224925</v>
      </c>
      <c r="E52" s="5" t="str">
        <f t="shared" si="19"/>
        <v>11</v>
      </c>
      <c r="F52" s="5" t="s">
        <v>12</v>
      </c>
      <c r="G52" s="5" t="s">
        <v>16</v>
      </c>
      <c r="H52" s="5">
        <v>81</v>
      </c>
      <c r="I52" s="5">
        <v>80.02</v>
      </c>
      <c r="J52" s="10">
        <f t="shared" si="1"/>
        <v>80.509999999999991</v>
      </c>
      <c r="K52" s="5"/>
    </row>
    <row r="53" spans="1:11" s="7" customFormat="1" ht="14.25" customHeight="1" x14ac:dyDescent="0.15">
      <c r="A53" s="5">
        <v>51</v>
      </c>
      <c r="B53" s="5" t="str">
        <f>"蒋欣"</f>
        <v>蒋欣</v>
      </c>
      <c r="C53" s="5" t="str">
        <f t="shared" si="18"/>
        <v>女</v>
      </c>
      <c r="D53" s="5" t="str">
        <f>"202301224932"</f>
        <v>202301224932</v>
      </c>
      <c r="E53" s="5" t="str">
        <f t="shared" si="19"/>
        <v>11</v>
      </c>
      <c r="F53" s="5" t="s">
        <v>12</v>
      </c>
      <c r="G53" s="5" t="s">
        <v>16</v>
      </c>
      <c r="H53" s="5">
        <v>80.900000000000006</v>
      </c>
      <c r="I53" s="5" t="s">
        <v>57</v>
      </c>
      <c r="J53" s="10">
        <v>40.450000000000003</v>
      </c>
      <c r="K53" s="5"/>
    </row>
    <row r="54" spans="1:11" s="7" customFormat="1" ht="14.25" customHeight="1" x14ac:dyDescent="0.15">
      <c r="A54" s="5">
        <v>52</v>
      </c>
      <c r="B54" s="6" t="str">
        <f>"唐萍"</f>
        <v>唐萍</v>
      </c>
      <c r="C54" s="6" t="str">
        <f t="shared" si="18"/>
        <v>女</v>
      </c>
      <c r="D54" s="6" t="str">
        <f>"202301224928"</f>
        <v>202301224928</v>
      </c>
      <c r="E54" s="6" t="str">
        <f t="shared" si="19"/>
        <v>11</v>
      </c>
      <c r="F54" s="6" t="s">
        <v>12</v>
      </c>
      <c r="G54" s="6" t="s">
        <v>16</v>
      </c>
      <c r="H54" s="6">
        <v>80.7</v>
      </c>
      <c r="I54" s="6">
        <v>80.44</v>
      </c>
      <c r="J54" s="10">
        <f t="shared" si="1"/>
        <v>80.569999999999993</v>
      </c>
      <c r="K54" s="5"/>
    </row>
    <row r="55" spans="1:11" s="7" customFormat="1" ht="14.25" customHeight="1" x14ac:dyDescent="0.15">
      <c r="A55" s="5">
        <v>53</v>
      </c>
      <c r="B55" s="5" t="str">
        <f>"刘依萍"</f>
        <v>刘依萍</v>
      </c>
      <c r="C55" s="5" t="str">
        <f t="shared" ref="C55" si="20">"女"</f>
        <v>女</v>
      </c>
      <c r="D55" s="5" t="str">
        <f>"202301224132"</f>
        <v>202301224132</v>
      </c>
      <c r="E55" s="5" t="str">
        <f t="shared" ref="E55" si="21">"12"</f>
        <v>12</v>
      </c>
      <c r="F55" s="5" t="s">
        <v>17</v>
      </c>
      <c r="G55" s="5" t="s">
        <v>16</v>
      </c>
      <c r="H55" s="5">
        <v>72.55</v>
      </c>
      <c r="I55" s="5">
        <v>78.3</v>
      </c>
      <c r="J55" s="10">
        <f t="shared" si="1"/>
        <v>75.424999999999997</v>
      </c>
      <c r="K55" s="5"/>
    </row>
    <row r="56" spans="1:11" s="7" customFormat="1" ht="14.25" customHeight="1" x14ac:dyDescent="0.15">
      <c r="A56" s="5">
        <v>54</v>
      </c>
      <c r="B56" s="5" t="str">
        <f>"周富洁"</f>
        <v>周富洁</v>
      </c>
      <c r="C56" s="5" t="str">
        <f>"女"</f>
        <v>女</v>
      </c>
      <c r="D56" s="5" t="str">
        <f>"202301224024"</f>
        <v>202301224024</v>
      </c>
      <c r="E56" s="5" t="str">
        <f t="shared" ref="E56:E57" si="22">"13"</f>
        <v>13</v>
      </c>
      <c r="F56" s="5" t="s">
        <v>13</v>
      </c>
      <c r="G56" s="5" t="s">
        <v>16</v>
      </c>
      <c r="H56" s="5">
        <v>83.2</v>
      </c>
      <c r="I56" s="5">
        <v>79.400000000000006</v>
      </c>
      <c r="J56" s="10">
        <f t="shared" si="1"/>
        <v>81.300000000000011</v>
      </c>
      <c r="K56" s="5"/>
    </row>
    <row r="57" spans="1:11" s="7" customFormat="1" ht="14.25" customHeight="1" x14ac:dyDescent="0.15">
      <c r="A57" s="5">
        <v>55</v>
      </c>
      <c r="B57" s="5" t="str">
        <f>"彭毅"</f>
        <v>彭毅</v>
      </c>
      <c r="C57" s="5" t="str">
        <f>"男"</f>
        <v>男</v>
      </c>
      <c r="D57" s="5" t="str">
        <f>"202301224030"</f>
        <v>202301224030</v>
      </c>
      <c r="E57" s="5" t="str">
        <f t="shared" si="22"/>
        <v>13</v>
      </c>
      <c r="F57" s="5" t="s">
        <v>13</v>
      </c>
      <c r="G57" s="5" t="s">
        <v>16</v>
      </c>
      <c r="H57" s="5">
        <v>81.400000000000006</v>
      </c>
      <c r="I57" s="5">
        <v>80.819999999999993</v>
      </c>
      <c r="J57" s="10">
        <f t="shared" si="1"/>
        <v>81.11</v>
      </c>
      <c r="K57" s="5"/>
    </row>
    <row r="58" spans="1:11" s="7" customFormat="1" ht="14.25" customHeight="1" x14ac:dyDescent="0.15">
      <c r="A58" s="5">
        <v>56</v>
      </c>
      <c r="B58" s="5" t="s">
        <v>25</v>
      </c>
      <c r="C58" s="5" t="s">
        <v>26</v>
      </c>
      <c r="D58" s="5" t="s">
        <v>28</v>
      </c>
      <c r="E58" s="5">
        <v>13</v>
      </c>
      <c r="F58" s="5" t="s">
        <v>13</v>
      </c>
      <c r="G58" s="5" t="s">
        <v>16</v>
      </c>
      <c r="H58" s="5">
        <v>74.3</v>
      </c>
      <c r="I58" s="5">
        <v>76.239999999999995</v>
      </c>
      <c r="J58" s="10">
        <f t="shared" si="1"/>
        <v>75.27</v>
      </c>
      <c r="K58" s="5"/>
    </row>
    <row r="59" spans="1:11" s="7" customFormat="1" ht="14.25" customHeight="1" x14ac:dyDescent="0.15">
      <c r="A59" s="5">
        <v>57</v>
      </c>
      <c r="B59" s="5" t="s">
        <v>27</v>
      </c>
      <c r="C59" s="5" t="s">
        <v>26</v>
      </c>
      <c r="D59" s="5" t="s">
        <v>29</v>
      </c>
      <c r="E59" s="5">
        <v>13</v>
      </c>
      <c r="F59" s="5" t="s">
        <v>13</v>
      </c>
      <c r="G59" s="5" t="s">
        <v>16</v>
      </c>
      <c r="H59" s="5">
        <v>67.95</v>
      </c>
      <c r="I59" s="5">
        <v>75.92</v>
      </c>
      <c r="J59" s="10">
        <f t="shared" si="1"/>
        <v>71.935000000000002</v>
      </c>
      <c r="K59" s="5"/>
    </row>
    <row r="60" spans="1:11" ht="14.25" customHeight="1" x14ac:dyDescent="0.15">
      <c r="A60" s="5">
        <v>58</v>
      </c>
      <c r="B60" s="5" t="str">
        <f>"胡波"</f>
        <v>胡波</v>
      </c>
      <c r="C60" s="5" t="str">
        <f>"男"</f>
        <v>男</v>
      </c>
      <c r="D60" s="5" t="str">
        <f>"202301224920"</f>
        <v>202301224920</v>
      </c>
      <c r="E60" s="5" t="str">
        <f t="shared" ref="E60:E66" si="23">"14"</f>
        <v>14</v>
      </c>
      <c r="F60" s="5" t="s">
        <v>14</v>
      </c>
      <c r="G60" s="5" t="s">
        <v>16</v>
      </c>
      <c r="H60" s="5">
        <v>88.25</v>
      </c>
      <c r="I60" s="5" t="s">
        <v>57</v>
      </c>
      <c r="J60" s="10">
        <v>44.13</v>
      </c>
      <c r="K60" s="6"/>
    </row>
    <row r="61" spans="1:11" s="7" customFormat="1" ht="14.25" customHeight="1" x14ac:dyDescent="0.15">
      <c r="A61" s="5">
        <v>59</v>
      </c>
      <c r="B61" s="5" t="str">
        <f>"吴秀青"</f>
        <v>吴秀青</v>
      </c>
      <c r="C61" s="5" t="str">
        <f>"女"</f>
        <v>女</v>
      </c>
      <c r="D61" s="5" t="str">
        <f>"202301224911"</f>
        <v>202301224911</v>
      </c>
      <c r="E61" s="5" t="str">
        <f t="shared" si="23"/>
        <v>14</v>
      </c>
      <c r="F61" s="5" t="s">
        <v>14</v>
      </c>
      <c r="G61" s="5" t="s">
        <v>16</v>
      </c>
      <c r="H61" s="5">
        <v>82.1</v>
      </c>
      <c r="I61" s="5">
        <v>79.86</v>
      </c>
      <c r="J61" s="10">
        <f t="shared" si="1"/>
        <v>80.97999999999999</v>
      </c>
      <c r="K61" s="5"/>
    </row>
    <row r="62" spans="1:11" s="7" customFormat="1" ht="14.25" customHeight="1" x14ac:dyDescent="0.15">
      <c r="A62" s="5">
        <v>60</v>
      </c>
      <c r="B62" s="6" t="str">
        <f>"马继良"</f>
        <v>马继良</v>
      </c>
      <c r="C62" s="6" t="str">
        <f>"男"</f>
        <v>男</v>
      </c>
      <c r="D62" s="6" t="str">
        <f>"202301224908"</f>
        <v>202301224908</v>
      </c>
      <c r="E62" s="6" t="str">
        <f t="shared" si="23"/>
        <v>14</v>
      </c>
      <c r="F62" s="6" t="s">
        <v>14</v>
      </c>
      <c r="G62" s="6" t="s">
        <v>16</v>
      </c>
      <c r="H62" s="6">
        <v>74.599999999999994</v>
      </c>
      <c r="I62" s="6">
        <v>77.98</v>
      </c>
      <c r="J62" s="10">
        <f t="shared" si="1"/>
        <v>76.289999999999992</v>
      </c>
      <c r="K62" s="5"/>
    </row>
    <row r="63" spans="1:11" s="7" customFormat="1" ht="14.25" customHeight="1" x14ac:dyDescent="0.15">
      <c r="A63" s="5">
        <v>61</v>
      </c>
      <c r="B63" s="5" t="str">
        <f>"匡泉瑾"</f>
        <v>匡泉瑾</v>
      </c>
      <c r="C63" s="5" t="str">
        <f>"女"</f>
        <v>女</v>
      </c>
      <c r="D63" s="5" t="str">
        <f>"202301224909"</f>
        <v>202301224909</v>
      </c>
      <c r="E63" s="5" t="str">
        <f t="shared" si="23"/>
        <v>14</v>
      </c>
      <c r="F63" s="5" t="s">
        <v>14</v>
      </c>
      <c r="G63" s="5" t="s">
        <v>16</v>
      </c>
      <c r="H63" s="5">
        <v>67.599999999999994</v>
      </c>
      <c r="I63" s="5" t="s">
        <v>55</v>
      </c>
      <c r="J63" s="10">
        <v>33.799999999999997</v>
      </c>
      <c r="K63" s="5"/>
    </row>
    <row r="64" spans="1:11" ht="14.25" customHeight="1" x14ac:dyDescent="0.15">
      <c r="A64" s="5">
        <v>62</v>
      </c>
      <c r="B64" s="5" t="str">
        <f>"黄欣然"</f>
        <v>黄欣然</v>
      </c>
      <c r="C64" s="5" t="str">
        <f>"女"</f>
        <v>女</v>
      </c>
      <c r="D64" s="5" t="str">
        <f>"202301224904"</f>
        <v>202301224904</v>
      </c>
      <c r="E64" s="5" t="str">
        <f t="shared" si="23"/>
        <v>14</v>
      </c>
      <c r="F64" s="5" t="s">
        <v>14</v>
      </c>
      <c r="G64" s="5" t="s">
        <v>16</v>
      </c>
      <c r="H64" s="5">
        <v>63.25</v>
      </c>
      <c r="I64" s="5" t="s">
        <v>61</v>
      </c>
      <c r="J64" s="10">
        <v>31.63</v>
      </c>
      <c r="K64" s="6"/>
    </row>
    <row r="65" spans="1:11" s="7" customFormat="1" ht="14.25" customHeight="1" x14ac:dyDescent="0.15">
      <c r="A65" s="5">
        <v>63</v>
      </c>
      <c r="B65" s="5" t="str">
        <f>"唐滔"</f>
        <v>唐滔</v>
      </c>
      <c r="C65" s="5" t="str">
        <f>"男"</f>
        <v>男</v>
      </c>
      <c r="D65" s="5" t="str">
        <f>"202301224910"</f>
        <v>202301224910</v>
      </c>
      <c r="E65" s="5" t="str">
        <f t="shared" si="23"/>
        <v>14</v>
      </c>
      <c r="F65" s="5" t="s">
        <v>14</v>
      </c>
      <c r="G65" s="5" t="s">
        <v>16</v>
      </c>
      <c r="H65" s="5">
        <v>62.85</v>
      </c>
      <c r="I65" s="5">
        <v>77.64</v>
      </c>
      <c r="J65" s="10">
        <f t="shared" si="1"/>
        <v>70.245000000000005</v>
      </c>
      <c r="K65" s="5"/>
    </row>
    <row r="66" spans="1:11" s="7" customFormat="1" ht="14.25" customHeight="1" x14ac:dyDescent="0.15">
      <c r="A66" s="5">
        <v>64</v>
      </c>
      <c r="B66" s="5" t="s">
        <v>43</v>
      </c>
      <c r="C66" s="5" t="s">
        <v>26</v>
      </c>
      <c r="D66" s="5" t="str">
        <f>"202301224917"</f>
        <v>202301224917</v>
      </c>
      <c r="E66" s="5" t="str">
        <f t="shared" si="23"/>
        <v>14</v>
      </c>
      <c r="F66" s="5" t="s">
        <v>14</v>
      </c>
      <c r="G66" s="5" t="s">
        <v>16</v>
      </c>
      <c r="H66" s="5">
        <v>57.35</v>
      </c>
      <c r="I66" s="5">
        <v>80.62</v>
      </c>
      <c r="J66" s="10">
        <f t="shared" si="1"/>
        <v>68.984999999999999</v>
      </c>
      <c r="K66" s="5"/>
    </row>
    <row r="67" spans="1:11" ht="14.25" customHeight="1" x14ac:dyDescent="0.15">
      <c r="A67" s="5">
        <v>65</v>
      </c>
      <c r="B67" s="5" t="str">
        <f>"曹琪"</f>
        <v>曹琪</v>
      </c>
      <c r="C67" s="5" t="str">
        <f>"女"</f>
        <v>女</v>
      </c>
      <c r="D67" s="5" t="str">
        <f>"202301223811"</f>
        <v>202301223811</v>
      </c>
      <c r="E67" s="5" t="str">
        <f t="shared" ref="E67:E71" si="24">"15"</f>
        <v>15</v>
      </c>
      <c r="F67" s="5" t="s">
        <v>18</v>
      </c>
      <c r="G67" s="5" t="s">
        <v>16</v>
      </c>
      <c r="H67" s="5">
        <v>84.8</v>
      </c>
      <c r="I67" s="5">
        <v>81.36</v>
      </c>
      <c r="J67" s="10">
        <f t="shared" si="1"/>
        <v>83.08</v>
      </c>
      <c r="K67" s="6"/>
    </row>
    <row r="68" spans="1:11" s="7" customFormat="1" ht="14.25" customHeight="1" x14ac:dyDescent="0.15">
      <c r="A68" s="5">
        <v>66</v>
      </c>
      <c r="B68" s="5" t="str">
        <f>"王相"</f>
        <v>王相</v>
      </c>
      <c r="C68" s="5" t="str">
        <f>"男"</f>
        <v>男</v>
      </c>
      <c r="D68" s="5" t="str">
        <f>"202301223906"</f>
        <v>202301223906</v>
      </c>
      <c r="E68" s="5" t="str">
        <f t="shared" si="24"/>
        <v>15</v>
      </c>
      <c r="F68" s="5" t="s">
        <v>18</v>
      </c>
      <c r="G68" s="5" t="s">
        <v>16</v>
      </c>
      <c r="H68" s="5">
        <v>84.75</v>
      </c>
      <c r="I68" s="5">
        <v>78.38</v>
      </c>
      <c r="J68" s="10">
        <f t="shared" ref="J68:J131" si="25">H68*0.5+I68*0.5</f>
        <v>81.564999999999998</v>
      </c>
      <c r="K68" s="5"/>
    </row>
    <row r="69" spans="1:11" ht="14.25" customHeight="1" x14ac:dyDescent="0.15">
      <c r="A69" s="5">
        <v>67</v>
      </c>
      <c r="B69" s="5" t="str">
        <f>"张黎"</f>
        <v>张黎</v>
      </c>
      <c r="C69" s="5" t="str">
        <f>"女"</f>
        <v>女</v>
      </c>
      <c r="D69" s="5" t="str">
        <f>"202301223819"</f>
        <v>202301223819</v>
      </c>
      <c r="E69" s="5" t="str">
        <f t="shared" si="24"/>
        <v>15</v>
      </c>
      <c r="F69" s="5" t="s">
        <v>18</v>
      </c>
      <c r="G69" s="5" t="s">
        <v>16</v>
      </c>
      <c r="H69" s="5">
        <v>83.25</v>
      </c>
      <c r="I69" s="5">
        <v>79.8</v>
      </c>
      <c r="J69" s="10">
        <f t="shared" si="25"/>
        <v>81.525000000000006</v>
      </c>
      <c r="K69" s="6"/>
    </row>
    <row r="70" spans="1:11" s="7" customFormat="1" ht="14.25" customHeight="1" x14ac:dyDescent="0.15">
      <c r="A70" s="5">
        <v>68</v>
      </c>
      <c r="B70" s="5" t="str">
        <f>"侯乐"</f>
        <v>侯乐</v>
      </c>
      <c r="C70" s="5" t="str">
        <f>"女"</f>
        <v>女</v>
      </c>
      <c r="D70" s="5" t="str">
        <f>"202301223908"</f>
        <v>202301223908</v>
      </c>
      <c r="E70" s="5" t="str">
        <f t="shared" si="24"/>
        <v>15</v>
      </c>
      <c r="F70" s="5" t="s">
        <v>18</v>
      </c>
      <c r="G70" s="5" t="s">
        <v>16</v>
      </c>
      <c r="H70" s="5">
        <v>82.25</v>
      </c>
      <c r="I70" s="5">
        <v>80.319999999999993</v>
      </c>
      <c r="J70" s="10">
        <f t="shared" si="25"/>
        <v>81.284999999999997</v>
      </c>
      <c r="K70" s="5"/>
    </row>
    <row r="71" spans="1:11" s="7" customFormat="1" ht="14.25" customHeight="1" x14ac:dyDescent="0.15">
      <c r="A71" s="5">
        <v>69</v>
      </c>
      <c r="B71" s="6" t="str">
        <f>"唐纯"</f>
        <v>唐纯</v>
      </c>
      <c r="C71" s="6" t="str">
        <f>"女"</f>
        <v>女</v>
      </c>
      <c r="D71" s="6" t="str">
        <f>"202301223917"</f>
        <v>202301223917</v>
      </c>
      <c r="E71" s="6" t="str">
        <f t="shared" si="24"/>
        <v>15</v>
      </c>
      <c r="F71" s="6" t="s">
        <v>18</v>
      </c>
      <c r="G71" s="6" t="s">
        <v>16</v>
      </c>
      <c r="H71" s="6">
        <v>82.25</v>
      </c>
      <c r="I71" s="6">
        <v>84.06</v>
      </c>
      <c r="J71" s="10">
        <f t="shared" si="25"/>
        <v>83.155000000000001</v>
      </c>
      <c r="K71" s="5"/>
    </row>
    <row r="72" spans="1:11" s="7" customFormat="1" ht="14.25" customHeight="1" x14ac:dyDescent="0.15">
      <c r="A72" s="5">
        <v>70</v>
      </c>
      <c r="B72" s="5" t="str">
        <f>"李燕灵"</f>
        <v>李燕灵</v>
      </c>
      <c r="C72" s="5" t="str">
        <f t="shared" ref="C72:C74" si="26">"女"</f>
        <v>女</v>
      </c>
      <c r="D72" s="5" t="str">
        <f>"202301224819"</f>
        <v>202301224819</v>
      </c>
      <c r="E72" s="5" t="str">
        <f t="shared" ref="E72:E75" si="27">"16"</f>
        <v>16</v>
      </c>
      <c r="F72" s="5" t="s">
        <v>15</v>
      </c>
      <c r="G72" s="5" t="s">
        <v>16</v>
      </c>
      <c r="H72" s="5">
        <v>91.25</v>
      </c>
      <c r="I72" s="5">
        <v>79.66</v>
      </c>
      <c r="J72" s="10">
        <f t="shared" si="25"/>
        <v>85.454999999999998</v>
      </c>
      <c r="K72" s="5"/>
    </row>
    <row r="73" spans="1:11" s="7" customFormat="1" ht="14.25" customHeight="1" x14ac:dyDescent="0.15">
      <c r="A73" s="5">
        <v>71</v>
      </c>
      <c r="B73" s="5" t="str">
        <f>"唐宝平"</f>
        <v>唐宝平</v>
      </c>
      <c r="C73" s="5" t="str">
        <f t="shared" si="26"/>
        <v>女</v>
      </c>
      <c r="D73" s="5" t="str">
        <f>"202301224818"</f>
        <v>202301224818</v>
      </c>
      <c r="E73" s="5" t="str">
        <f t="shared" si="27"/>
        <v>16</v>
      </c>
      <c r="F73" s="5" t="s">
        <v>15</v>
      </c>
      <c r="G73" s="5" t="s">
        <v>16</v>
      </c>
      <c r="H73" s="5">
        <v>88.5</v>
      </c>
      <c r="I73" s="5">
        <v>80.28</v>
      </c>
      <c r="J73" s="10">
        <f t="shared" si="25"/>
        <v>84.39</v>
      </c>
      <c r="K73" s="5"/>
    </row>
    <row r="74" spans="1:11" s="7" customFormat="1" ht="14.25" customHeight="1" x14ac:dyDescent="0.15">
      <c r="A74" s="5">
        <v>72</v>
      </c>
      <c r="B74" s="5" t="str">
        <f>"符静雯"</f>
        <v>符静雯</v>
      </c>
      <c r="C74" s="5" t="str">
        <f t="shared" si="26"/>
        <v>女</v>
      </c>
      <c r="D74" s="5" t="str">
        <f>"202301224813"</f>
        <v>202301224813</v>
      </c>
      <c r="E74" s="5" t="str">
        <f t="shared" si="27"/>
        <v>16</v>
      </c>
      <c r="F74" s="5" t="s">
        <v>15</v>
      </c>
      <c r="G74" s="5" t="s">
        <v>16</v>
      </c>
      <c r="H74" s="5">
        <v>86.05</v>
      </c>
      <c r="I74" s="5">
        <v>79.7</v>
      </c>
      <c r="J74" s="10">
        <f t="shared" si="25"/>
        <v>82.875</v>
      </c>
      <c r="K74" s="5"/>
    </row>
    <row r="75" spans="1:11" s="7" customFormat="1" ht="14.25" customHeight="1" x14ac:dyDescent="0.15">
      <c r="A75" s="5">
        <v>73</v>
      </c>
      <c r="B75" s="5" t="s">
        <v>44</v>
      </c>
      <c r="C75" s="5" t="s">
        <v>26</v>
      </c>
      <c r="D75" s="5" t="s">
        <v>45</v>
      </c>
      <c r="E75" s="5" t="str">
        <f t="shared" si="27"/>
        <v>16</v>
      </c>
      <c r="F75" s="5" t="s">
        <v>15</v>
      </c>
      <c r="G75" s="5" t="s">
        <v>16</v>
      </c>
      <c r="H75" s="5">
        <v>85.75</v>
      </c>
      <c r="I75" s="5">
        <v>79.44</v>
      </c>
      <c r="J75" s="10">
        <f t="shared" si="25"/>
        <v>82.594999999999999</v>
      </c>
      <c r="K75" s="5"/>
    </row>
    <row r="76" spans="1:11" s="7" customFormat="1" ht="14.25" customHeight="1" x14ac:dyDescent="0.15">
      <c r="A76" s="5">
        <v>74</v>
      </c>
      <c r="B76" s="5" t="str">
        <f>"黄也"</f>
        <v>黄也</v>
      </c>
      <c r="C76" s="5" t="str">
        <f t="shared" ref="C76:C82" si="28">"女"</f>
        <v>女</v>
      </c>
      <c r="D76" s="5" t="str">
        <f>"202301224727"</f>
        <v>202301224727</v>
      </c>
      <c r="E76" s="5" t="str">
        <f t="shared" ref="E76:E83" si="29">"17"</f>
        <v>17</v>
      </c>
      <c r="F76" s="5" t="s">
        <v>19</v>
      </c>
      <c r="G76" s="5" t="s">
        <v>16</v>
      </c>
      <c r="H76" s="5">
        <v>73.150000000000006</v>
      </c>
      <c r="I76" s="5">
        <v>79</v>
      </c>
      <c r="J76" s="10">
        <f t="shared" si="25"/>
        <v>76.075000000000003</v>
      </c>
      <c r="K76" s="5"/>
    </row>
    <row r="77" spans="1:11" ht="14.25" customHeight="1" x14ac:dyDescent="0.15">
      <c r="A77" s="5">
        <v>75</v>
      </c>
      <c r="B77" s="6" t="str">
        <f>"龚薇"</f>
        <v>龚薇</v>
      </c>
      <c r="C77" s="6" t="str">
        <f t="shared" si="28"/>
        <v>女</v>
      </c>
      <c r="D77" s="6" t="str">
        <f>"202301224503"</f>
        <v>202301224503</v>
      </c>
      <c r="E77" s="6" t="str">
        <f t="shared" si="29"/>
        <v>17</v>
      </c>
      <c r="F77" s="6" t="s">
        <v>19</v>
      </c>
      <c r="G77" s="6" t="s">
        <v>16</v>
      </c>
      <c r="H77" s="6">
        <v>72.55</v>
      </c>
      <c r="I77" s="6">
        <v>79.84</v>
      </c>
      <c r="J77" s="10">
        <f t="shared" si="25"/>
        <v>76.194999999999993</v>
      </c>
      <c r="K77" s="6"/>
    </row>
    <row r="78" spans="1:11" ht="14.25" customHeight="1" x14ac:dyDescent="0.15">
      <c r="A78" s="5">
        <v>76</v>
      </c>
      <c r="B78" s="5" t="str">
        <f>"刘倩"</f>
        <v>刘倩</v>
      </c>
      <c r="C78" s="5" t="str">
        <f t="shared" si="28"/>
        <v>女</v>
      </c>
      <c r="D78" s="5" t="str">
        <f>"202301224303"</f>
        <v>202301224303</v>
      </c>
      <c r="E78" s="5" t="str">
        <f t="shared" si="29"/>
        <v>17</v>
      </c>
      <c r="F78" s="5" t="s">
        <v>19</v>
      </c>
      <c r="G78" s="5" t="s">
        <v>16</v>
      </c>
      <c r="H78" s="5">
        <v>72.25</v>
      </c>
      <c r="I78" s="5">
        <v>79.3</v>
      </c>
      <c r="J78" s="10">
        <f t="shared" si="25"/>
        <v>75.775000000000006</v>
      </c>
      <c r="K78" s="6"/>
    </row>
    <row r="79" spans="1:11" s="7" customFormat="1" ht="14.25" customHeight="1" x14ac:dyDescent="0.15">
      <c r="A79" s="5">
        <v>77</v>
      </c>
      <c r="B79" s="5" t="str">
        <f>"谭玉涓"</f>
        <v>谭玉涓</v>
      </c>
      <c r="C79" s="5" t="str">
        <f t="shared" si="28"/>
        <v>女</v>
      </c>
      <c r="D79" s="5" t="str">
        <f>"202301224214"</f>
        <v>202301224214</v>
      </c>
      <c r="E79" s="5" t="str">
        <f t="shared" si="29"/>
        <v>17</v>
      </c>
      <c r="F79" s="5" t="s">
        <v>19</v>
      </c>
      <c r="G79" s="5" t="s">
        <v>16</v>
      </c>
      <c r="H79" s="5">
        <v>72.2</v>
      </c>
      <c r="I79" s="5">
        <v>79.87</v>
      </c>
      <c r="J79" s="10">
        <f t="shared" si="25"/>
        <v>76.034999999999997</v>
      </c>
      <c r="K79" s="5"/>
    </row>
    <row r="80" spans="1:11" ht="14.25" customHeight="1" x14ac:dyDescent="0.15">
      <c r="A80" s="5">
        <v>78</v>
      </c>
      <c r="B80" s="5" t="str">
        <f>"谭琼"</f>
        <v>谭琼</v>
      </c>
      <c r="C80" s="5" t="str">
        <f t="shared" si="28"/>
        <v>女</v>
      </c>
      <c r="D80" s="5" t="str">
        <f>"202301224622"</f>
        <v>202301224622</v>
      </c>
      <c r="E80" s="5" t="str">
        <f t="shared" si="29"/>
        <v>17</v>
      </c>
      <c r="F80" s="5" t="s">
        <v>19</v>
      </c>
      <c r="G80" s="5" t="s">
        <v>16</v>
      </c>
      <c r="H80" s="5">
        <v>71.7</v>
      </c>
      <c r="I80" s="5">
        <v>80.78</v>
      </c>
      <c r="J80" s="10">
        <f t="shared" si="25"/>
        <v>76.240000000000009</v>
      </c>
      <c r="K80" s="6"/>
    </row>
    <row r="81" spans="1:11" ht="14.25" customHeight="1" x14ac:dyDescent="0.15">
      <c r="A81" s="5">
        <v>79</v>
      </c>
      <c r="B81" s="6" t="str">
        <f>"肖惠中"</f>
        <v>肖惠中</v>
      </c>
      <c r="C81" s="5" t="str">
        <f t="shared" si="28"/>
        <v>女</v>
      </c>
      <c r="D81" s="5" t="str">
        <f>"202301224318"</f>
        <v>202301224318</v>
      </c>
      <c r="E81" s="5" t="str">
        <f t="shared" si="29"/>
        <v>17</v>
      </c>
      <c r="F81" s="5" t="s">
        <v>19</v>
      </c>
      <c r="G81" s="5" t="s">
        <v>16</v>
      </c>
      <c r="H81" s="5">
        <v>71.45</v>
      </c>
      <c r="I81" s="5">
        <v>85.2</v>
      </c>
      <c r="J81" s="10">
        <f t="shared" si="25"/>
        <v>78.325000000000003</v>
      </c>
      <c r="K81" s="6"/>
    </row>
    <row r="82" spans="1:11" ht="14.25" customHeight="1" x14ac:dyDescent="0.15">
      <c r="A82" s="5">
        <v>80</v>
      </c>
      <c r="B82" s="5" t="str">
        <f>"汪芷妍"</f>
        <v>汪芷妍</v>
      </c>
      <c r="C82" s="5" t="str">
        <f t="shared" si="28"/>
        <v>女</v>
      </c>
      <c r="D82" s="5" t="str">
        <f>"202301224330"</f>
        <v>202301224330</v>
      </c>
      <c r="E82" s="5" t="str">
        <f t="shared" si="29"/>
        <v>17</v>
      </c>
      <c r="F82" s="5" t="s">
        <v>19</v>
      </c>
      <c r="G82" s="5" t="s">
        <v>16</v>
      </c>
      <c r="H82" s="5">
        <v>71.400000000000006</v>
      </c>
      <c r="I82" s="5" t="s">
        <v>55</v>
      </c>
      <c r="J82" s="10">
        <v>35.700000000000003</v>
      </c>
      <c r="K82" s="6"/>
    </row>
    <row r="83" spans="1:11" ht="14.25" customHeight="1" x14ac:dyDescent="0.15">
      <c r="A83" s="5">
        <v>81</v>
      </c>
      <c r="B83" s="5" t="s">
        <v>48</v>
      </c>
      <c r="C83" s="5" t="s">
        <v>26</v>
      </c>
      <c r="D83" s="5" t="s">
        <v>49</v>
      </c>
      <c r="E83" s="5" t="str">
        <f t="shared" si="29"/>
        <v>17</v>
      </c>
      <c r="F83" s="5" t="s">
        <v>19</v>
      </c>
      <c r="G83" s="5" t="s">
        <v>16</v>
      </c>
      <c r="H83" s="5">
        <v>69.95</v>
      </c>
      <c r="I83" s="6">
        <v>78</v>
      </c>
      <c r="J83" s="10">
        <f t="shared" si="25"/>
        <v>73.974999999999994</v>
      </c>
      <c r="K83" s="6"/>
    </row>
    <row r="84" spans="1:11" s="7" customFormat="1" ht="14.25" customHeight="1" x14ac:dyDescent="0.15">
      <c r="A84" s="5">
        <v>82</v>
      </c>
      <c r="B84" s="6" t="str">
        <f>"曾依依"</f>
        <v>曾依依</v>
      </c>
      <c r="C84" s="6" t="str">
        <f>"女"</f>
        <v>女</v>
      </c>
      <c r="D84" s="6" t="str">
        <f>"202301222821"</f>
        <v>202301222821</v>
      </c>
      <c r="E84" s="6" t="str">
        <f t="shared" ref="E84:E90" si="30">"18"</f>
        <v>18</v>
      </c>
      <c r="F84" s="6" t="s">
        <v>20</v>
      </c>
      <c r="G84" s="6" t="s">
        <v>16</v>
      </c>
      <c r="H84" s="6">
        <v>68.849999999999994</v>
      </c>
      <c r="I84" s="6">
        <v>79.040000000000006</v>
      </c>
      <c r="J84" s="10">
        <f t="shared" si="25"/>
        <v>73.944999999999993</v>
      </c>
      <c r="K84" s="5"/>
    </row>
    <row r="85" spans="1:11" ht="14.25" customHeight="1" x14ac:dyDescent="0.15">
      <c r="A85" s="5">
        <v>83</v>
      </c>
      <c r="B85" s="6" t="str">
        <f>"罗志豪"</f>
        <v>罗志豪</v>
      </c>
      <c r="C85" s="6" t="str">
        <f>"男"</f>
        <v>男</v>
      </c>
      <c r="D85" s="6" t="str">
        <f>"202301222605"</f>
        <v>202301222605</v>
      </c>
      <c r="E85" s="6" t="str">
        <f t="shared" si="30"/>
        <v>18</v>
      </c>
      <c r="F85" s="6" t="s">
        <v>20</v>
      </c>
      <c r="G85" s="6" t="s">
        <v>16</v>
      </c>
      <c r="H85" s="6">
        <v>68.099999999999994</v>
      </c>
      <c r="I85" s="6">
        <v>79.489999999999995</v>
      </c>
      <c r="J85" s="10">
        <f t="shared" si="25"/>
        <v>73.794999999999987</v>
      </c>
      <c r="K85" s="6"/>
    </row>
    <row r="86" spans="1:11" s="7" customFormat="1" ht="14.25" customHeight="1" x14ac:dyDescent="0.15">
      <c r="A86" s="5">
        <v>84</v>
      </c>
      <c r="B86" s="5" t="str">
        <f>"张海婷"</f>
        <v>张海婷</v>
      </c>
      <c r="C86" s="5" t="str">
        <f>"女"</f>
        <v>女</v>
      </c>
      <c r="D86" s="5" t="str">
        <f>"202301222617"</f>
        <v>202301222617</v>
      </c>
      <c r="E86" s="5" t="str">
        <f t="shared" si="30"/>
        <v>18</v>
      </c>
      <c r="F86" s="5" t="s">
        <v>20</v>
      </c>
      <c r="G86" s="5" t="s">
        <v>16</v>
      </c>
      <c r="H86" s="5">
        <v>67.45</v>
      </c>
      <c r="I86" s="5" t="s">
        <v>55</v>
      </c>
      <c r="J86" s="10">
        <v>33.729999999999997</v>
      </c>
      <c r="K86" s="5"/>
    </row>
    <row r="87" spans="1:11" s="7" customFormat="1" ht="14.25" customHeight="1" x14ac:dyDescent="0.15">
      <c r="A87" s="5">
        <v>85</v>
      </c>
      <c r="B87" s="5" t="str">
        <f>"吕淑颖"</f>
        <v>吕淑颖</v>
      </c>
      <c r="C87" s="5" t="str">
        <f>"女"</f>
        <v>女</v>
      </c>
      <c r="D87" s="5" t="str">
        <f>"202301222705"</f>
        <v>202301222705</v>
      </c>
      <c r="E87" s="5" t="str">
        <f t="shared" si="30"/>
        <v>18</v>
      </c>
      <c r="F87" s="5" t="s">
        <v>20</v>
      </c>
      <c r="G87" s="5" t="s">
        <v>16</v>
      </c>
      <c r="H87" s="5">
        <v>67.45</v>
      </c>
      <c r="I87" s="5">
        <v>83.42</v>
      </c>
      <c r="J87" s="10">
        <f t="shared" si="25"/>
        <v>75.435000000000002</v>
      </c>
      <c r="K87" s="5"/>
    </row>
    <row r="88" spans="1:11" ht="14.25" customHeight="1" x14ac:dyDescent="0.15">
      <c r="A88" s="5">
        <v>86</v>
      </c>
      <c r="B88" s="5" t="str">
        <f>"唐盈"</f>
        <v>唐盈</v>
      </c>
      <c r="C88" s="5" t="str">
        <f>"女"</f>
        <v>女</v>
      </c>
      <c r="D88" s="5" t="str">
        <f>"202301222623"</f>
        <v>202301222623</v>
      </c>
      <c r="E88" s="5" t="str">
        <f t="shared" si="30"/>
        <v>18</v>
      </c>
      <c r="F88" s="5" t="s">
        <v>20</v>
      </c>
      <c r="G88" s="5" t="s">
        <v>16</v>
      </c>
      <c r="H88" s="5">
        <v>66.099999999999994</v>
      </c>
      <c r="I88" s="5">
        <v>80.02</v>
      </c>
      <c r="J88" s="10">
        <f t="shared" si="25"/>
        <v>73.06</v>
      </c>
      <c r="K88" s="6"/>
    </row>
    <row r="89" spans="1:11" ht="14.25" customHeight="1" x14ac:dyDescent="0.15">
      <c r="A89" s="5">
        <v>87</v>
      </c>
      <c r="B89" s="5" t="str">
        <f>"吴连成"</f>
        <v>吴连成</v>
      </c>
      <c r="C89" s="5" t="str">
        <f>"男"</f>
        <v>男</v>
      </c>
      <c r="D89" s="5" t="str">
        <f>"202301222613"</f>
        <v>202301222613</v>
      </c>
      <c r="E89" s="5" t="str">
        <f t="shared" si="30"/>
        <v>18</v>
      </c>
      <c r="F89" s="5" t="s">
        <v>20</v>
      </c>
      <c r="G89" s="5" t="s">
        <v>16</v>
      </c>
      <c r="H89" s="5">
        <v>65.849999999999994</v>
      </c>
      <c r="I89" s="5">
        <v>80.819999999999993</v>
      </c>
      <c r="J89" s="10">
        <f t="shared" si="25"/>
        <v>73.334999999999994</v>
      </c>
      <c r="K89" s="6"/>
    </row>
    <row r="90" spans="1:11" s="7" customFormat="1" ht="14.25" customHeight="1" x14ac:dyDescent="0.15">
      <c r="A90" s="5">
        <v>88</v>
      </c>
      <c r="B90" s="5" t="str">
        <f>"周艳杰"</f>
        <v>周艳杰</v>
      </c>
      <c r="C90" s="5" t="str">
        <f>"男"</f>
        <v>男</v>
      </c>
      <c r="D90" s="5" t="str">
        <f>"202301222920"</f>
        <v>202301222920</v>
      </c>
      <c r="E90" s="5" t="str">
        <f t="shared" si="30"/>
        <v>18</v>
      </c>
      <c r="F90" s="5" t="s">
        <v>20</v>
      </c>
      <c r="G90" s="5" t="s">
        <v>16</v>
      </c>
      <c r="H90" s="5">
        <v>65.5</v>
      </c>
      <c r="I90" s="5">
        <v>80.44</v>
      </c>
      <c r="J90" s="10">
        <f t="shared" si="25"/>
        <v>72.97</v>
      </c>
      <c r="K90" s="5"/>
    </row>
    <row r="91" spans="1:11" s="7" customFormat="1" ht="14.25" customHeight="1" x14ac:dyDescent="0.15">
      <c r="A91" s="5">
        <v>89</v>
      </c>
      <c r="B91" s="5" t="str">
        <f>"魏嘉穗"</f>
        <v>魏嘉穗</v>
      </c>
      <c r="C91" s="5" t="str">
        <f>"女"</f>
        <v>女</v>
      </c>
      <c r="D91" s="5" t="str">
        <f>"202301222806"</f>
        <v>202301222806</v>
      </c>
      <c r="E91" s="5" t="str">
        <f t="shared" ref="E91:E93" si="31">"18"</f>
        <v>18</v>
      </c>
      <c r="F91" s="5" t="s">
        <v>20</v>
      </c>
      <c r="G91" s="5" t="s">
        <v>16</v>
      </c>
      <c r="H91" s="5">
        <v>64.5</v>
      </c>
      <c r="I91" s="5">
        <v>79.58</v>
      </c>
      <c r="J91" s="10">
        <f t="shared" si="25"/>
        <v>72.039999999999992</v>
      </c>
      <c r="K91" s="5"/>
    </row>
    <row r="92" spans="1:11" s="7" customFormat="1" ht="14.25" customHeight="1" x14ac:dyDescent="0.15">
      <c r="A92" s="5">
        <v>90</v>
      </c>
      <c r="B92" s="5" t="str">
        <f>"邝红香"</f>
        <v>邝红香</v>
      </c>
      <c r="C92" s="5" t="str">
        <f>"女"</f>
        <v>女</v>
      </c>
      <c r="D92" s="5" t="str">
        <f>"202301222304"</f>
        <v>202301222304</v>
      </c>
      <c r="E92" s="5" t="str">
        <f t="shared" si="31"/>
        <v>18</v>
      </c>
      <c r="F92" s="5" t="s">
        <v>20</v>
      </c>
      <c r="G92" s="5" t="s">
        <v>16</v>
      </c>
      <c r="H92" s="5">
        <v>64.400000000000006</v>
      </c>
      <c r="I92" s="5">
        <v>80.209999999999994</v>
      </c>
      <c r="J92" s="10">
        <f t="shared" si="25"/>
        <v>72.305000000000007</v>
      </c>
      <c r="K92" s="5"/>
    </row>
    <row r="93" spans="1:11" s="7" customFormat="1" ht="14.25" customHeight="1" x14ac:dyDescent="0.15">
      <c r="A93" s="5">
        <v>91</v>
      </c>
      <c r="B93" s="5" t="str">
        <f>"陈聪"</f>
        <v>陈聪</v>
      </c>
      <c r="C93" s="5" t="str">
        <f t="shared" ref="C93" si="32">"男"</f>
        <v>男</v>
      </c>
      <c r="D93" s="5" t="str">
        <f>"202301222332"</f>
        <v>202301222332</v>
      </c>
      <c r="E93" s="5" t="str">
        <f t="shared" si="31"/>
        <v>18</v>
      </c>
      <c r="F93" s="5" t="s">
        <v>20</v>
      </c>
      <c r="G93" s="5" t="s">
        <v>16</v>
      </c>
      <c r="H93" s="5">
        <v>64.349999999999994</v>
      </c>
      <c r="I93" s="5">
        <v>78.459999999999994</v>
      </c>
      <c r="J93" s="10">
        <f t="shared" si="25"/>
        <v>71.405000000000001</v>
      </c>
      <c r="K93" s="5"/>
    </row>
    <row r="94" spans="1:11" ht="14.25" customHeight="1" x14ac:dyDescent="0.15">
      <c r="A94" s="5">
        <v>92</v>
      </c>
      <c r="B94" s="5" t="str">
        <f>"秦嘉斐"</f>
        <v>秦嘉斐</v>
      </c>
      <c r="C94" s="5" t="str">
        <f>"女"</f>
        <v>女</v>
      </c>
      <c r="D94" s="5" t="str">
        <f>"202301223020"</f>
        <v>202301223020</v>
      </c>
      <c r="E94" s="5" t="str">
        <f t="shared" ref="E94:E97" si="33">"19"</f>
        <v>19</v>
      </c>
      <c r="F94" s="5" t="s">
        <v>21</v>
      </c>
      <c r="G94" s="5" t="s">
        <v>16</v>
      </c>
      <c r="H94" s="5">
        <v>87.3</v>
      </c>
      <c r="I94" s="5">
        <v>81.260000000000005</v>
      </c>
      <c r="J94" s="10">
        <f t="shared" si="25"/>
        <v>84.28</v>
      </c>
      <c r="K94" s="6"/>
    </row>
    <row r="95" spans="1:11" ht="14.25" customHeight="1" x14ac:dyDescent="0.15">
      <c r="A95" s="5">
        <v>93</v>
      </c>
      <c r="B95" s="5" t="str">
        <f>"陈熙"</f>
        <v>陈熙</v>
      </c>
      <c r="C95" s="5" t="str">
        <f>"女"</f>
        <v>女</v>
      </c>
      <c r="D95" s="5" t="str">
        <f>"202301223425"</f>
        <v>202301223425</v>
      </c>
      <c r="E95" s="5" t="str">
        <f t="shared" si="33"/>
        <v>19</v>
      </c>
      <c r="F95" s="5" t="s">
        <v>21</v>
      </c>
      <c r="G95" s="5" t="s">
        <v>16</v>
      </c>
      <c r="H95" s="5">
        <v>85.7</v>
      </c>
      <c r="I95" s="5">
        <v>82.58</v>
      </c>
      <c r="J95" s="10">
        <f t="shared" si="25"/>
        <v>84.14</v>
      </c>
      <c r="K95" s="6"/>
    </row>
    <row r="96" spans="1:11" s="7" customFormat="1" ht="14.25" customHeight="1" x14ac:dyDescent="0.15">
      <c r="A96" s="5">
        <v>94</v>
      </c>
      <c r="B96" s="5" t="str">
        <f>"李硕"</f>
        <v>李硕</v>
      </c>
      <c r="C96" s="5" t="str">
        <f>"男"</f>
        <v>男</v>
      </c>
      <c r="D96" s="5" t="str">
        <f>"202301223715"</f>
        <v>202301223715</v>
      </c>
      <c r="E96" s="5" t="str">
        <f t="shared" si="33"/>
        <v>19</v>
      </c>
      <c r="F96" s="5" t="s">
        <v>21</v>
      </c>
      <c r="G96" s="5" t="s">
        <v>16</v>
      </c>
      <c r="H96" s="5">
        <v>85.6</v>
      </c>
      <c r="I96" s="5">
        <v>84.66</v>
      </c>
      <c r="J96" s="10">
        <f t="shared" si="25"/>
        <v>85.13</v>
      </c>
      <c r="K96" s="5"/>
    </row>
    <row r="97" spans="1:11" ht="14.25" customHeight="1" x14ac:dyDescent="0.15">
      <c r="A97" s="5">
        <v>95</v>
      </c>
      <c r="B97" s="5" t="str">
        <f>"张璐"</f>
        <v>张璐</v>
      </c>
      <c r="C97" s="5" t="str">
        <f t="shared" ref="C97" si="34">"女"</f>
        <v>女</v>
      </c>
      <c r="D97" s="5" t="str">
        <f>"202301223110"</f>
        <v>202301223110</v>
      </c>
      <c r="E97" s="5" t="str">
        <f t="shared" si="33"/>
        <v>19</v>
      </c>
      <c r="F97" s="5" t="s">
        <v>21</v>
      </c>
      <c r="G97" s="5" t="s">
        <v>16</v>
      </c>
      <c r="H97" s="5">
        <v>85.55</v>
      </c>
      <c r="I97" s="5">
        <v>77.56</v>
      </c>
      <c r="J97" s="10">
        <f t="shared" si="25"/>
        <v>81.555000000000007</v>
      </c>
      <c r="K97" s="6"/>
    </row>
    <row r="98" spans="1:11" s="7" customFormat="1" ht="14.25" customHeight="1" x14ac:dyDescent="0.15">
      <c r="A98" s="5">
        <v>96</v>
      </c>
      <c r="B98" s="5" t="str">
        <f>"王文岚"</f>
        <v>王文岚</v>
      </c>
      <c r="C98" s="5" t="str">
        <f t="shared" ref="C98:C99" si="35">"女"</f>
        <v>女</v>
      </c>
      <c r="D98" s="5" t="str">
        <f>"202301224112"</f>
        <v>202301224112</v>
      </c>
      <c r="E98" s="5" t="str">
        <f t="shared" ref="E98:E99" si="36">"20"</f>
        <v>20</v>
      </c>
      <c r="F98" s="5" t="s">
        <v>22</v>
      </c>
      <c r="G98" s="5" t="s">
        <v>16</v>
      </c>
      <c r="H98" s="5">
        <v>81.75</v>
      </c>
      <c r="I98" s="5" t="s">
        <v>56</v>
      </c>
      <c r="J98" s="10">
        <v>40.880000000000003</v>
      </c>
      <c r="K98" s="5"/>
    </row>
    <row r="99" spans="1:11" s="7" customFormat="1" ht="14.25" customHeight="1" x14ac:dyDescent="0.15">
      <c r="A99" s="5">
        <v>97</v>
      </c>
      <c r="B99" s="6" t="str">
        <f>"文霞"</f>
        <v>文霞</v>
      </c>
      <c r="C99" s="6" t="str">
        <f t="shared" si="35"/>
        <v>女</v>
      </c>
      <c r="D99" s="6" t="str">
        <f>"202301224104"</f>
        <v>202301224104</v>
      </c>
      <c r="E99" s="6" t="str">
        <f t="shared" si="36"/>
        <v>20</v>
      </c>
      <c r="F99" s="6" t="s">
        <v>22</v>
      </c>
      <c r="G99" s="6" t="s">
        <v>16</v>
      </c>
      <c r="H99" s="6">
        <v>76.650000000000006</v>
      </c>
      <c r="I99" s="6">
        <v>78.78</v>
      </c>
      <c r="J99" s="10">
        <f t="shared" si="25"/>
        <v>77.715000000000003</v>
      </c>
      <c r="K99" s="5"/>
    </row>
    <row r="100" spans="1:11" s="7" customFormat="1" ht="14.25" customHeight="1" x14ac:dyDescent="0.15">
      <c r="A100" s="5">
        <v>98</v>
      </c>
      <c r="B100" s="5" t="str">
        <f>"庄珺"</f>
        <v>庄珺</v>
      </c>
      <c r="C100" s="5" t="str">
        <f t="shared" ref="C100" si="37">"女"</f>
        <v>女</v>
      </c>
      <c r="D100" s="5" t="str">
        <f>"202301224835"</f>
        <v>202301224835</v>
      </c>
      <c r="E100" s="5" t="str">
        <f t="shared" ref="E100:E101" si="38">"21"</f>
        <v>21</v>
      </c>
      <c r="F100" s="5" t="s">
        <v>23</v>
      </c>
      <c r="G100" s="5" t="s">
        <v>16</v>
      </c>
      <c r="H100" s="5">
        <v>77.400000000000006</v>
      </c>
      <c r="I100" s="5">
        <v>78.599999999999994</v>
      </c>
      <c r="J100" s="10">
        <f t="shared" si="25"/>
        <v>78</v>
      </c>
      <c r="K100" s="5"/>
    </row>
    <row r="101" spans="1:11" s="7" customFormat="1" ht="14.25" customHeight="1" x14ac:dyDescent="0.15">
      <c r="A101" s="5">
        <v>99</v>
      </c>
      <c r="B101" s="5" t="str">
        <f>"杨文丽"</f>
        <v>杨文丽</v>
      </c>
      <c r="C101" s="5" t="str">
        <f>"女"</f>
        <v>女</v>
      </c>
      <c r="D101" s="5" t="str">
        <f>"202301224901"</f>
        <v>202301224901</v>
      </c>
      <c r="E101" s="5" t="str">
        <f t="shared" si="38"/>
        <v>21</v>
      </c>
      <c r="F101" s="5" t="s">
        <v>23</v>
      </c>
      <c r="G101" s="5" t="s">
        <v>16</v>
      </c>
      <c r="H101" s="5">
        <v>75.400000000000006</v>
      </c>
      <c r="I101" s="5">
        <v>78.739999999999995</v>
      </c>
      <c r="J101" s="10">
        <f t="shared" si="25"/>
        <v>77.069999999999993</v>
      </c>
      <c r="K101" s="5"/>
    </row>
    <row r="102" spans="1:11" s="7" customFormat="1" ht="14.25" customHeight="1" x14ac:dyDescent="0.15">
      <c r="A102" s="5">
        <v>100</v>
      </c>
      <c r="B102" s="5" t="str">
        <f>"孙语馨"</f>
        <v>孙语馨</v>
      </c>
      <c r="C102" s="5" t="str">
        <f t="shared" ref="C102:C103" si="39">"女"</f>
        <v>女</v>
      </c>
      <c r="D102" s="5" t="str">
        <f>"202301224826"</f>
        <v>202301224826</v>
      </c>
      <c r="E102" s="5" t="str">
        <f t="shared" ref="E102:E103" si="40">"21"</f>
        <v>21</v>
      </c>
      <c r="F102" s="5" t="s">
        <v>23</v>
      </c>
      <c r="G102" s="5" t="s">
        <v>16</v>
      </c>
      <c r="H102" s="5">
        <v>73.2</v>
      </c>
      <c r="I102" s="5">
        <v>80.58</v>
      </c>
      <c r="J102" s="10">
        <f t="shared" si="25"/>
        <v>76.89</v>
      </c>
      <c r="K102" s="5"/>
    </row>
    <row r="103" spans="1:11" s="7" customFormat="1" ht="14.25" customHeight="1" x14ac:dyDescent="0.15">
      <c r="A103" s="5">
        <v>101</v>
      </c>
      <c r="B103" s="5" t="str">
        <f>"王文静"</f>
        <v>王文静</v>
      </c>
      <c r="C103" s="5" t="str">
        <f t="shared" si="39"/>
        <v>女</v>
      </c>
      <c r="D103" s="5" t="str">
        <f>"202301224822"</f>
        <v>202301224822</v>
      </c>
      <c r="E103" s="5" t="str">
        <f t="shared" si="40"/>
        <v>21</v>
      </c>
      <c r="F103" s="5" t="s">
        <v>23</v>
      </c>
      <c r="G103" s="5" t="s">
        <v>16</v>
      </c>
      <c r="H103" s="5">
        <v>70.3</v>
      </c>
      <c r="I103" s="5">
        <v>80.56</v>
      </c>
      <c r="J103" s="10">
        <f t="shared" si="25"/>
        <v>75.430000000000007</v>
      </c>
      <c r="K103" s="5"/>
    </row>
    <row r="104" spans="1:11" s="7" customFormat="1" ht="14.25" customHeight="1" x14ac:dyDescent="0.15">
      <c r="A104" s="5">
        <v>102</v>
      </c>
      <c r="B104" s="5" t="str">
        <f>"苏润香"</f>
        <v>苏润香</v>
      </c>
      <c r="C104" s="5" t="str">
        <f t="shared" ref="C104:C109" si="41">"女"</f>
        <v>女</v>
      </c>
      <c r="D104" s="5" t="str">
        <f>"202301239631"</f>
        <v>202301239631</v>
      </c>
      <c r="E104" s="5" t="str">
        <f t="shared" ref="E104:E108" si="42">"22"</f>
        <v>22</v>
      </c>
      <c r="F104" s="5" t="s">
        <v>8</v>
      </c>
      <c r="G104" s="5" t="s">
        <v>24</v>
      </c>
      <c r="H104" s="5">
        <v>83.05</v>
      </c>
      <c r="I104" s="5">
        <v>80.099999999999994</v>
      </c>
      <c r="J104" s="10">
        <f t="shared" si="25"/>
        <v>81.574999999999989</v>
      </c>
      <c r="K104" s="5"/>
    </row>
    <row r="105" spans="1:11" ht="14.25" customHeight="1" x14ac:dyDescent="0.15">
      <c r="A105" s="5">
        <v>103</v>
      </c>
      <c r="B105" s="6" t="str">
        <f>"陈涵"</f>
        <v>陈涵</v>
      </c>
      <c r="C105" s="5" t="str">
        <f t="shared" si="41"/>
        <v>女</v>
      </c>
      <c r="D105" s="5" t="str">
        <f>"202301237020"</f>
        <v>202301237020</v>
      </c>
      <c r="E105" s="5" t="str">
        <f t="shared" si="42"/>
        <v>22</v>
      </c>
      <c r="F105" s="5" t="s">
        <v>8</v>
      </c>
      <c r="G105" s="5" t="s">
        <v>24</v>
      </c>
      <c r="H105" s="5">
        <v>82.95</v>
      </c>
      <c r="I105" s="5">
        <v>83.76</v>
      </c>
      <c r="J105" s="10">
        <f t="shared" si="25"/>
        <v>83.355000000000004</v>
      </c>
      <c r="K105" s="6"/>
    </row>
    <row r="106" spans="1:11" ht="14.25" customHeight="1" x14ac:dyDescent="0.15">
      <c r="A106" s="5">
        <v>104</v>
      </c>
      <c r="B106" s="5" t="str">
        <f>"喻茂能"</f>
        <v>喻茂能</v>
      </c>
      <c r="C106" s="5" t="str">
        <f t="shared" si="41"/>
        <v>女</v>
      </c>
      <c r="D106" s="5" t="str">
        <f>"202301236906"</f>
        <v>202301236906</v>
      </c>
      <c r="E106" s="5" t="str">
        <f t="shared" si="42"/>
        <v>22</v>
      </c>
      <c r="F106" s="5" t="s">
        <v>8</v>
      </c>
      <c r="G106" s="5" t="s">
        <v>24</v>
      </c>
      <c r="H106" s="5">
        <v>82.65</v>
      </c>
      <c r="I106" s="5">
        <v>79.819999999999993</v>
      </c>
      <c r="J106" s="10">
        <f t="shared" si="25"/>
        <v>81.234999999999999</v>
      </c>
      <c r="K106" s="6"/>
    </row>
    <row r="107" spans="1:11" s="7" customFormat="1" ht="14.25" customHeight="1" x14ac:dyDescent="0.15">
      <c r="A107" s="5">
        <v>105</v>
      </c>
      <c r="B107" s="5" t="str">
        <f>"唐瑶"</f>
        <v>唐瑶</v>
      </c>
      <c r="C107" s="5" t="str">
        <f t="shared" si="41"/>
        <v>女</v>
      </c>
      <c r="D107" s="5" t="str">
        <f>"202301237531"</f>
        <v>202301237531</v>
      </c>
      <c r="E107" s="5" t="str">
        <f t="shared" si="42"/>
        <v>22</v>
      </c>
      <c r="F107" s="5" t="s">
        <v>8</v>
      </c>
      <c r="G107" s="5" t="s">
        <v>24</v>
      </c>
      <c r="H107" s="5">
        <v>82.45</v>
      </c>
      <c r="I107" s="5">
        <v>80.78</v>
      </c>
      <c r="J107" s="10">
        <f t="shared" si="25"/>
        <v>81.615000000000009</v>
      </c>
      <c r="K107" s="5"/>
    </row>
    <row r="108" spans="1:11" s="7" customFormat="1" ht="14.25" customHeight="1" x14ac:dyDescent="0.15">
      <c r="A108" s="5">
        <v>106</v>
      </c>
      <c r="B108" s="6" t="str">
        <f>"龙紫嫣"</f>
        <v>龙紫嫣</v>
      </c>
      <c r="C108" s="6" t="str">
        <f t="shared" si="41"/>
        <v>女</v>
      </c>
      <c r="D108" s="6" t="str">
        <f>"202301239008"</f>
        <v>202301239008</v>
      </c>
      <c r="E108" s="6" t="str">
        <f t="shared" si="42"/>
        <v>22</v>
      </c>
      <c r="F108" s="6" t="s">
        <v>8</v>
      </c>
      <c r="G108" s="6" t="s">
        <v>24</v>
      </c>
      <c r="H108" s="6">
        <v>82.2</v>
      </c>
      <c r="I108" s="6">
        <v>83.56</v>
      </c>
      <c r="J108" s="10">
        <f t="shared" si="25"/>
        <v>82.88</v>
      </c>
      <c r="K108" s="5"/>
    </row>
    <row r="109" spans="1:11" s="7" customFormat="1" ht="14.25" customHeight="1" x14ac:dyDescent="0.15">
      <c r="A109" s="5">
        <v>107</v>
      </c>
      <c r="B109" s="5" t="str">
        <f>"蔡昀珊"</f>
        <v>蔡昀珊</v>
      </c>
      <c r="C109" s="5" t="str">
        <f t="shared" si="41"/>
        <v>女</v>
      </c>
      <c r="D109" s="5" t="str">
        <f>"202301237722"</f>
        <v>202301237722</v>
      </c>
      <c r="E109" s="5" t="str">
        <f t="shared" ref="E109" si="43">"22"</f>
        <v>22</v>
      </c>
      <c r="F109" s="5" t="s">
        <v>8</v>
      </c>
      <c r="G109" s="5" t="s">
        <v>24</v>
      </c>
      <c r="H109" s="5">
        <v>81.55</v>
      </c>
      <c r="I109" s="5">
        <v>76.88</v>
      </c>
      <c r="J109" s="10">
        <f t="shared" si="25"/>
        <v>79.215000000000003</v>
      </c>
      <c r="K109" s="5"/>
    </row>
    <row r="110" spans="1:11" s="7" customFormat="1" ht="14.25" customHeight="1" x14ac:dyDescent="0.15">
      <c r="A110" s="5">
        <v>108</v>
      </c>
      <c r="B110" s="5" t="str">
        <f>"刘荣"</f>
        <v>刘荣</v>
      </c>
      <c r="C110" s="5" t="str">
        <f>"女"</f>
        <v>女</v>
      </c>
      <c r="D110" s="5" t="str">
        <f>"202301231615"</f>
        <v>202301231615</v>
      </c>
      <c r="E110" s="5" t="str">
        <f t="shared" ref="E110:E113" si="44">"23"</f>
        <v>23</v>
      </c>
      <c r="F110" s="5" t="s">
        <v>10</v>
      </c>
      <c r="G110" s="5" t="s">
        <v>24</v>
      </c>
      <c r="H110" s="5">
        <v>92.45</v>
      </c>
      <c r="I110" s="5">
        <v>80.5</v>
      </c>
      <c r="J110" s="10">
        <f t="shared" si="25"/>
        <v>86.474999999999994</v>
      </c>
      <c r="K110" s="5"/>
    </row>
    <row r="111" spans="1:11" s="7" customFormat="1" ht="14.25" customHeight="1" x14ac:dyDescent="0.15">
      <c r="A111" s="5">
        <v>109</v>
      </c>
      <c r="B111" s="5" t="str">
        <f>"赵杰"</f>
        <v>赵杰</v>
      </c>
      <c r="C111" s="5" t="str">
        <f>"男"</f>
        <v>男</v>
      </c>
      <c r="D111" s="5" t="str">
        <f>"202301234821"</f>
        <v>202301234821</v>
      </c>
      <c r="E111" s="5" t="str">
        <f t="shared" si="44"/>
        <v>23</v>
      </c>
      <c r="F111" s="5" t="s">
        <v>10</v>
      </c>
      <c r="G111" s="5" t="s">
        <v>24</v>
      </c>
      <c r="H111" s="5">
        <v>92.25</v>
      </c>
      <c r="I111" s="5">
        <v>78.900000000000006</v>
      </c>
      <c r="J111" s="10">
        <f t="shared" si="25"/>
        <v>85.575000000000003</v>
      </c>
      <c r="K111" s="5"/>
    </row>
    <row r="112" spans="1:11" s="7" customFormat="1" ht="14.25" customHeight="1" x14ac:dyDescent="0.15">
      <c r="A112" s="5">
        <v>110</v>
      </c>
      <c r="B112" s="6" t="str">
        <f>"胡康凤"</f>
        <v>胡康凤</v>
      </c>
      <c r="C112" s="6" t="str">
        <f>"女"</f>
        <v>女</v>
      </c>
      <c r="D112" s="6" t="str">
        <f>"202301234431"</f>
        <v>202301234431</v>
      </c>
      <c r="E112" s="6" t="str">
        <f t="shared" si="44"/>
        <v>23</v>
      </c>
      <c r="F112" s="6" t="s">
        <v>10</v>
      </c>
      <c r="G112" s="6" t="s">
        <v>24</v>
      </c>
      <c r="H112" s="6">
        <v>92</v>
      </c>
      <c r="I112" s="6">
        <v>81.099999999999994</v>
      </c>
      <c r="J112" s="10">
        <f t="shared" si="25"/>
        <v>86.55</v>
      </c>
      <c r="K112" s="5"/>
    </row>
    <row r="113" spans="1:11" s="7" customFormat="1" ht="14.25" customHeight="1" x14ac:dyDescent="0.15">
      <c r="A113" s="5">
        <v>111</v>
      </c>
      <c r="B113" s="5" t="str">
        <f>"孙欢欢"</f>
        <v>孙欢欢</v>
      </c>
      <c r="C113" s="5" t="str">
        <f>"女"</f>
        <v>女</v>
      </c>
      <c r="D113" s="5" t="str">
        <f>"202301230917"</f>
        <v>202301230917</v>
      </c>
      <c r="E113" s="5" t="str">
        <f t="shared" si="44"/>
        <v>23</v>
      </c>
      <c r="F113" s="5" t="s">
        <v>10</v>
      </c>
      <c r="G113" s="5" t="s">
        <v>24</v>
      </c>
      <c r="H113" s="5">
        <v>91</v>
      </c>
      <c r="I113" s="5">
        <v>79</v>
      </c>
      <c r="J113" s="10">
        <f t="shared" si="25"/>
        <v>85</v>
      </c>
      <c r="K113" s="5"/>
    </row>
    <row r="114" spans="1:11" s="7" customFormat="1" ht="14.25" customHeight="1" x14ac:dyDescent="0.15">
      <c r="A114" s="5">
        <v>112</v>
      </c>
      <c r="B114" s="5" t="str">
        <f>"肖雯倩"</f>
        <v>肖雯倩</v>
      </c>
      <c r="C114" s="5" t="str">
        <f t="shared" ref="C114:C117" si="45">"女"</f>
        <v>女</v>
      </c>
      <c r="D114" s="5" t="str">
        <f>"202301227114"</f>
        <v>202301227114</v>
      </c>
      <c r="E114" s="5" t="str">
        <f t="shared" ref="E114:E116" si="46">"24"</f>
        <v>24</v>
      </c>
      <c r="F114" s="5" t="s">
        <v>11</v>
      </c>
      <c r="G114" s="5" t="s">
        <v>24</v>
      </c>
      <c r="H114" s="5">
        <v>86.2</v>
      </c>
      <c r="I114" s="5">
        <v>83.64</v>
      </c>
      <c r="J114" s="10">
        <f t="shared" si="25"/>
        <v>84.92</v>
      </c>
      <c r="K114" s="5"/>
    </row>
    <row r="115" spans="1:11" s="7" customFormat="1" ht="14.25" customHeight="1" x14ac:dyDescent="0.15">
      <c r="A115" s="5">
        <v>113</v>
      </c>
      <c r="B115" s="5" t="str">
        <f>"邓成"</f>
        <v>邓成</v>
      </c>
      <c r="C115" s="5" t="str">
        <f t="shared" si="45"/>
        <v>女</v>
      </c>
      <c r="D115" s="5" t="str">
        <f>"202301227615"</f>
        <v>202301227615</v>
      </c>
      <c r="E115" s="5" t="str">
        <f t="shared" si="46"/>
        <v>24</v>
      </c>
      <c r="F115" s="5" t="s">
        <v>11</v>
      </c>
      <c r="G115" s="5" t="s">
        <v>24</v>
      </c>
      <c r="H115" s="5">
        <v>85.65</v>
      </c>
      <c r="I115" s="5">
        <v>78.88</v>
      </c>
      <c r="J115" s="10">
        <f t="shared" si="25"/>
        <v>82.265000000000001</v>
      </c>
      <c r="K115" s="5"/>
    </row>
    <row r="116" spans="1:11" s="7" customFormat="1" ht="14.25" customHeight="1" x14ac:dyDescent="0.15">
      <c r="A116" s="5">
        <v>114</v>
      </c>
      <c r="B116" s="6" t="str">
        <f>"纪玲星"</f>
        <v>纪玲星</v>
      </c>
      <c r="C116" s="5" t="str">
        <f t="shared" si="45"/>
        <v>女</v>
      </c>
      <c r="D116" s="5" t="str">
        <f>"202301227412"</f>
        <v>202301227412</v>
      </c>
      <c r="E116" s="5" t="str">
        <f t="shared" si="46"/>
        <v>24</v>
      </c>
      <c r="F116" s="5" t="s">
        <v>11</v>
      </c>
      <c r="G116" s="5" t="s">
        <v>24</v>
      </c>
      <c r="H116" s="5">
        <v>85.35</v>
      </c>
      <c r="I116" s="5">
        <v>83</v>
      </c>
      <c r="J116" s="10">
        <f t="shared" si="25"/>
        <v>84.174999999999997</v>
      </c>
      <c r="K116" s="5"/>
    </row>
    <row r="117" spans="1:11" s="7" customFormat="1" ht="14.25" customHeight="1" x14ac:dyDescent="0.15">
      <c r="A117" s="5">
        <v>115</v>
      </c>
      <c r="B117" s="5" t="str">
        <f>"唐时艳"</f>
        <v>唐时艳</v>
      </c>
      <c r="C117" s="5" t="str">
        <f t="shared" si="45"/>
        <v>女</v>
      </c>
      <c r="D117" s="5" t="str">
        <f>"202301226719"</f>
        <v>202301226719</v>
      </c>
      <c r="E117" s="5" t="str">
        <f t="shared" ref="E117:E118" si="47">"24"</f>
        <v>24</v>
      </c>
      <c r="F117" s="5" t="s">
        <v>11</v>
      </c>
      <c r="G117" s="5" t="s">
        <v>24</v>
      </c>
      <c r="H117" s="5">
        <v>84.1</v>
      </c>
      <c r="I117" s="5">
        <v>79.2</v>
      </c>
      <c r="J117" s="10">
        <f t="shared" si="25"/>
        <v>81.650000000000006</v>
      </c>
      <c r="K117" s="5"/>
    </row>
    <row r="118" spans="1:11" s="7" customFormat="1" ht="14.25" customHeight="1" x14ac:dyDescent="0.15">
      <c r="A118" s="5">
        <v>116</v>
      </c>
      <c r="B118" s="5" t="s">
        <v>50</v>
      </c>
      <c r="C118" s="5" t="s">
        <v>26</v>
      </c>
      <c r="D118" s="5" t="s">
        <v>51</v>
      </c>
      <c r="E118" s="5" t="str">
        <f t="shared" si="47"/>
        <v>24</v>
      </c>
      <c r="F118" s="5" t="s">
        <v>11</v>
      </c>
      <c r="G118" s="5" t="s">
        <v>24</v>
      </c>
      <c r="H118" s="5">
        <v>84.1</v>
      </c>
      <c r="I118" s="5">
        <v>80.28</v>
      </c>
      <c r="J118" s="10">
        <f t="shared" si="25"/>
        <v>82.19</v>
      </c>
      <c r="K118" s="5"/>
    </row>
    <row r="119" spans="1:11" s="7" customFormat="1" ht="14.25" customHeight="1" x14ac:dyDescent="0.15">
      <c r="A119" s="5">
        <v>117</v>
      </c>
      <c r="B119" s="5" t="str">
        <f>"周艳彬"</f>
        <v>周艳彬</v>
      </c>
      <c r="C119" s="5" t="str">
        <f>"女"</f>
        <v>女</v>
      </c>
      <c r="D119" s="5" t="str">
        <f>"202301228210"</f>
        <v>202301228210</v>
      </c>
      <c r="E119" s="5" t="str">
        <f t="shared" ref="E119:E124" si="48">"25"</f>
        <v>25</v>
      </c>
      <c r="F119" s="5" t="s">
        <v>19</v>
      </c>
      <c r="G119" s="5" t="s">
        <v>24</v>
      </c>
      <c r="H119" s="5">
        <v>72.5</v>
      </c>
      <c r="I119" s="5">
        <v>81.02</v>
      </c>
      <c r="J119" s="10">
        <f t="shared" si="25"/>
        <v>76.759999999999991</v>
      </c>
      <c r="K119" s="5"/>
    </row>
    <row r="120" spans="1:11" s="7" customFormat="1" ht="14.25" customHeight="1" x14ac:dyDescent="0.15">
      <c r="A120" s="5">
        <v>118</v>
      </c>
      <c r="B120" s="5" t="str">
        <f>"张筱柔"</f>
        <v>张筱柔</v>
      </c>
      <c r="C120" s="5" t="str">
        <f>"女"</f>
        <v>女</v>
      </c>
      <c r="D120" s="5" t="str">
        <f>"202301228207"</f>
        <v>202301228207</v>
      </c>
      <c r="E120" s="5" t="str">
        <f t="shared" si="48"/>
        <v>25</v>
      </c>
      <c r="F120" s="5" t="s">
        <v>19</v>
      </c>
      <c r="G120" s="5" t="s">
        <v>24</v>
      </c>
      <c r="H120" s="5">
        <v>70.3</v>
      </c>
      <c r="I120" s="5">
        <v>80.86</v>
      </c>
      <c r="J120" s="10">
        <f t="shared" si="25"/>
        <v>75.58</v>
      </c>
      <c r="K120" s="5"/>
    </row>
    <row r="121" spans="1:11" s="7" customFormat="1" ht="14.25" customHeight="1" x14ac:dyDescent="0.15">
      <c r="A121" s="5">
        <v>119</v>
      </c>
      <c r="B121" s="6" t="str">
        <f>"魏倩英"</f>
        <v>魏倩英</v>
      </c>
      <c r="C121" s="5" t="str">
        <f>"女"</f>
        <v>女</v>
      </c>
      <c r="D121" s="5" t="str">
        <f>"202301228505"</f>
        <v>202301228505</v>
      </c>
      <c r="E121" s="5" t="str">
        <f t="shared" si="48"/>
        <v>25</v>
      </c>
      <c r="F121" s="5" t="s">
        <v>19</v>
      </c>
      <c r="G121" s="5" t="s">
        <v>24</v>
      </c>
      <c r="H121" s="5">
        <v>68.400000000000006</v>
      </c>
      <c r="I121" s="6">
        <v>84.38</v>
      </c>
      <c r="J121" s="10">
        <f t="shared" si="25"/>
        <v>76.39</v>
      </c>
      <c r="K121" s="5"/>
    </row>
    <row r="122" spans="1:11" s="7" customFormat="1" ht="14.25" customHeight="1" x14ac:dyDescent="0.15">
      <c r="A122" s="5">
        <v>120</v>
      </c>
      <c r="B122" s="5" t="str">
        <f>"陈茹艺"</f>
        <v>陈茹艺</v>
      </c>
      <c r="C122" s="5" t="str">
        <f>"女"</f>
        <v>女</v>
      </c>
      <c r="D122" s="5" t="str">
        <f>"202301228402"</f>
        <v>202301228402</v>
      </c>
      <c r="E122" s="5" t="str">
        <f t="shared" si="48"/>
        <v>25</v>
      </c>
      <c r="F122" s="5" t="s">
        <v>19</v>
      </c>
      <c r="G122" s="5" t="s">
        <v>24</v>
      </c>
      <c r="H122" s="5">
        <v>66.900000000000006</v>
      </c>
      <c r="I122" s="5">
        <v>79.650000000000006</v>
      </c>
      <c r="J122" s="10">
        <f t="shared" si="25"/>
        <v>73.275000000000006</v>
      </c>
      <c r="K122" s="5"/>
    </row>
    <row r="123" spans="1:11" ht="14.25" customHeight="1" x14ac:dyDescent="0.15">
      <c r="A123" s="5">
        <v>121</v>
      </c>
      <c r="B123" s="5" t="str">
        <f>"王俊"</f>
        <v>王俊</v>
      </c>
      <c r="C123" s="5" t="str">
        <f>"男"</f>
        <v>男</v>
      </c>
      <c r="D123" s="5" t="str">
        <f>"202301228602"</f>
        <v>202301228602</v>
      </c>
      <c r="E123" s="5" t="str">
        <f t="shared" si="48"/>
        <v>25</v>
      </c>
      <c r="F123" s="5" t="s">
        <v>19</v>
      </c>
      <c r="G123" s="5" t="s">
        <v>24</v>
      </c>
      <c r="H123" s="5">
        <v>65.400000000000006</v>
      </c>
      <c r="I123" s="5" t="s">
        <v>55</v>
      </c>
      <c r="J123" s="10">
        <v>32.700000000000003</v>
      </c>
      <c r="K123" s="6"/>
    </row>
    <row r="124" spans="1:11" ht="14.25" customHeight="1" x14ac:dyDescent="0.15">
      <c r="A124" s="5">
        <v>122</v>
      </c>
      <c r="B124" s="5" t="str">
        <f>"唐洁"</f>
        <v>唐洁</v>
      </c>
      <c r="C124" s="5" t="str">
        <f t="shared" ref="C124" si="49">"女"</f>
        <v>女</v>
      </c>
      <c r="D124" s="5" t="str">
        <f>"202301228502"</f>
        <v>202301228502</v>
      </c>
      <c r="E124" s="5" t="str">
        <f t="shared" si="48"/>
        <v>25</v>
      </c>
      <c r="F124" s="5" t="s">
        <v>19</v>
      </c>
      <c r="G124" s="5" t="s">
        <v>24</v>
      </c>
      <c r="H124" s="5">
        <v>65.3</v>
      </c>
      <c r="I124" s="5">
        <v>81.459999999999994</v>
      </c>
      <c r="J124" s="10">
        <f t="shared" si="25"/>
        <v>73.38</v>
      </c>
      <c r="K124" s="6"/>
    </row>
    <row r="125" spans="1:11" ht="14.25" customHeight="1" x14ac:dyDescent="0.15">
      <c r="A125" s="5">
        <v>123</v>
      </c>
      <c r="B125" s="5" t="str">
        <f>"黎佳丽"</f>
        <v>黎佳丽</v>
      </c>
      <c r="C125" s="5" t="str">
        <f t="shared" ref="C125:C127" si="50">"女"</f>
        <v>女</v>
      </c>
      <c r="D125" s="5" t="str">
        <f>"202301225319"</f>
        <v>202301225319</v>
      </c>
      <c r="E125" s="5" t="str">
        <f t="shared" ref="E125:E132" si="51">"26"</f>
        <v>26</v>
      </c>
      <c r="F125" s="5" t="s">
        <v>20</v>
      </c>
      <c r="G125" s="5" t="s">
        <v>24</v>
      </c>
      <c r="H125" s="5">
        <v>69.650000000000006</v>
      </c>
      <c r="I125" s="5">
        <v>78.7</v>
      </c>
      <c r="J125" s="10">
        <f t="shared" si="25"/>
        <v>74.175000000000011</v>
      </c>
      <c r="K125" s="6"/>
    </row>
    <row r="126" spans="1:11" s="7" customFormat="1" ht="14.25" customHeight="1" x14ac:dyDescent="0.15">
      <c r="A126" s="5">
        <v>124</v>
      </c>
      <c r="B126" s="5" t="str">
        <f>"陈丽娜"</f>
        <v>陈丽娜</v>
      </c>
      <c r="C126" s="5" t="str">
        <f t="shared" si="50"/>
        <v>女</v>
      </c>
      <c r="D126" s="5" t="str">
        <f>"202301225333"</f>
        <v>202301225333</v>
      </c>
      <c r="E126" s="5" t="str">
        <f t="shared" si="51"/>
        <v>26</v>
      </c>
      <c r="F126" s="5" t="s">
        <v>20</v>
      </c>
      <c r="G126" s="5" t="s">
        <v>24</v>
      </c>
      <c r="H126" s="5">
        <v>62.3</v>
      </c>
      <c r="I126" s="5">
        <v>80.28</v>
      </c>
      <c r="J126" s="10">
        <f t="shared" si="25"/>
        <v>71.289999999999992</v>
      </c>
      <c r="K126" s="5"/>
    </row>
    <row r="127" spans="1:11" s="7" customFormat="1" ht="14.25" customHeight="1" x14ac:dyDescent="0.15">
      <c r="A127" s="5">
        <v>125</v>
      </c>
      <c r="B127" s="5" t="str">
        <f>"文叠"</f>
        <v>文叠</v>
      </c>
      <c r="C127" s="5" t="str">
        <f t="shared" si="50"/>
        <v>女</v>
      </c>
      <c r="D127" s="5" t="str">
        <f>"202301225402"</f>
        <v>202301225402</v>
      </c>
      <c r="E127" s="5" t="str">
        <f t="shared" si="51"/>
        <v>26</v>
      </c>
      <c r="F127" s="5" t="s">
        <v>20</v>
      </c>
      <c r="G127" s="5" t="s">
        <v>24</v>
      </c>
      <c r="H127" s="5">
        <v>61.05</v>
      </c>
      <c r="I127" s="5">
        <v>83.74</v>
      </c>
      <c r="J127" s="10">
        <f t="shared" si="25"/>
        <v>72.394999999999996</v>
      </c>
      <c r="K127" s="5"/>
    </row>
    <row r="128" spans="1:11" ht="14.25" customHeight="1" x14ac:dyDescent="0.15">
      <c r="A128" s="5">
        <v>126</v>
      </c>
      <c r="B128" s="5" t="str">
        <f>"唐旭荣"</f>
        <v>唐旭荣</v>
      </c>
      <c r="C128" s="5" t="str">
        <f>"男"</f>
        <v>男</v>
      </c>
      <c r="D128" s="5" t="str">
        <f>"202301225432"</f>
        <v>202301225432</v>
      </c>
      <c r="E128" s="5" t="str">
        <f t="shared" si="51"/>
        <v>26</v>
      </c>
      <c r="F128" s="5" t="s">
        <v>20</v>
      </c>
      <c r="G128" s="5" t="s">
        <v>24</v>
      </c>
      <c r="H128" s="5">
        <v>61</v>
      </c>
      <c r="I128" s="5">
        <v>78.66</v>
      </c>
      <c r="J128" s="10">
        <f t="shared" si="25"/>
        <v>69.83</v>
      </c>
      <c r="K128" s="6"/>
    </row>
    <row r="129" spans="1:11" ht="14.25" customHeight="1" x14ac:dyDescent="0.15">
      <c r="A129" s="5">
        <v>127</v>
      </c>
      <c r="B129" s="5" t="str">
        <f>"刘中正"</f>
        <v>刘中正</v>
      </c>
      <c r="C129" s="5" t="str">
        <f>"男"</f>
        <v>男</v>
      </c>
      <c r="D129" s="5" t="str">
        <f>"202301225133"</f>
        <v>202301225133</v>
      </c>
      <c r="E129" s="5" t="str">
        <f t="shared" si="51"/>
        <v>26</v>
      </c>
      <c r="F129" s="5" t="s">
        <v>20</v>
      </c>
      <c r="G129" s="5" t="s">
        <v>24</v>
      </c>
      <c r="H129" s="5">
        <v>60.75</v>
      </c>
      <c r="I129" s="5">
        <v>80.739999999999995</v>
      </c>
      <c r="J129" s="10">
        <f t="shared" si="25"/>
        <v>70.745000000000005</v>
      </c>
      <c r="K129" s="6"/>
    </row>
    <row r="130" spans="1:11" s="7" customFormat="1" ht="14.25" customHeight="1" x14ac:dyDescent="0.15">
      <c r="A130" s="5">
        <v>128</v>
      </c>
      <c r="B130" s="5" t="str">
        <f>"彭天野"</f>
        <v>彭天野</v>
      </c>
      <c r="C130" s="5" t="str">
        <f>"男"</f>
        <v>男</v>
      </c>
      <c r="D130" s="5" t="str">
        <f>"202301225308"</f>
        <v>202301225308</v>
      </c>
      <c r="E130" s="5" t="str">
        <f t="shared" si="51"/>
        <v>26</v>
      </c>
      <c r="F130" s="5" t="s">
        <v>20</v>
      </c>
      <c r="G130" s="5" t="s">
        <v>24</v>
      </c>
      <c r="H130" s="5">
        <v>59.7</v>
      </c>
      <c r="I130" s="5">
        <v>79.680000000000007</v>
      </c>
      <c r="J130" s="10">
        <f t="shared" si="25"/>
        <v>69.69</v>
      </c>
      <c r="K130" s="5"/>
    </row>
    <row r="131" spans="1:11" ht="14.25" customHeight="1" x14ac:dyDescent="0.15">
      <c r="A131" s="5">
        <v>129</v>
      </c>
      <c r="B131" s="5" t="str">
        <f>"唐香"</f>
        <v>唐香</v>
      </c>
      <c r="C131" s="5" t="str">
        <f>"女"</f>
        <v>女</v>
      </c>
      <c r="D131" s="5" t="str">
        <f>"202301225311"</f>
        <v>202301225311</v>
      </c>
      <c r="E131" s="5" t="str">
        <f t="shared" si="51"/>
        <v>26</v>
      </c>
      <c r="F131" s="5" t="s">
        <v>20</v>
      </c>
      <c r="G131" s="5" t="s">
        <v>24</v>
      </c>
      <c r="H131" s="5">
        <v>59.2</v>
      </c>
      <c r="I131" s="5">
        <v>78.97</v>
      </c>
      <c r="J131" s="10">
        <f t="shared" si="25"/>
        <v>69.085000000000008</v>
      </c>
      <c r="K131" s="6"/>
    </row>
    <row r="132" spans="1:11" ht="14.25" customHeight="1" x14ac:dyDescent="0.15">
      <c r="A132" s="5">
        <v>130</v>
      </c>
      <c r="B132" s="5" t="str">
        <f>"李婧"</f>
        <v>李婧</v>
      </c>
      <c r="C132" s="5" t="str">
        <f>"女"</f>
        <v>女</v>
      </c>
      <c r="D132" s="5" t="str">
        <f>"202301225209"</f>
        <v>202301225209</v>
      </c>
      <c r="E132" s="5" t="str">
        <f t="shared" si="51"/>
        <v>26</v>
      </c>
      <c r="F132" s="5" t="s">
        <v>20</v>
      </c>
      <c r="G132" s="5" t="s">
        <v>24</v>
      </c>
      <c r="H132" s="5">
        <v>58.95</v>
      </c>
      <c r="I132" s="5">
        <v>77.48</v>
      </c>
      <c r="J132" s="10">
        <f t="shared" ref="J132:J140" si="52">H132*0.5+I132*0.5</f>
        <v>68.215000000000003</v>
      </c>
      <c r="K132" s="6"/>
    </row>
    <row r="133" spans="1:11" s="7" customFormat="1" ht="14.25" customHeight="1" x14ac:dyDescent="0.15">
      <c r="A133" s="5">
        <v>131</v>
      </c>
      <c r="B133" s="5" t="str">
        <f>"杨雪儿"</f>
        <v>杨雪儿</v>
      </c>
      <c r="C133" s="5" t="str">
        <f>"女"</f>
        <v>女</v>
      </c>
      <c r="D133" s="5" t="str">
        <f>"202301226010"</f>
        <v>202301226010</v>
      </c>
      <c r="E133" s="5" t="str">
        <f t="shared" ref="E133:E136" si="53">"27"</f>
        <v>27</v>
      </c>
      <c r="F133" s="5" t="s">
        <v>21</v>
      </c>
      <c r="G133" s="5" t="s">
        <v>24</v>
      </c>
      <c r="H133" s="5">
        <v>85.7</v>
      </c>
      <c r="I133" s="5">
        <v>81.78</v>
      </c>
      <c r="J133" s="10">
        <f t="shared" si="52"/>
        <v>83.740000000000009</v>
      </c>
      <c r="K133" s="5"/>
    </row>
    <row r="134" spans="1:11" s="7" customFormat="1" ht="14.25" customHeight="1" x14ac:dyDescent="0.15">
      <c r="A134" s="5">
        <v>132</v>
      </c>
      <c r="B134" s="5" t="str">
        <f>"李哲"</f>
        <v>李哲</v>
      </c>
      <c r="C134" s="5" t="str">
        <f>"男"</f>
        <v>男</v>
      </c>
      <c r="D134" s="5" t="str">
        <f>"202301226320"</f>
        <v>202301226320</v>
      </c>
      <c r="E134" s="5" t="str">
        <f t="shared" si="53"/>
        <v>27</v>
      </c>
      <c r="F134" s="5" t="s">
        <v>21</v>
      </c>
      <c r="G134" s="5" t="s">
        <v>24</v>
      </c>
      <c r="H134" s="5">
        <v>85.55</v>
      </c>
      <c r="I134" s="5">
        <v>77.260000000000005</v>
      </c>
      <c r="J134" s="10">
        <f t="shared" si="52"/>
        <v>81.405000000000001</v>
      </c>
      <c r="K134" s="5"/>
    </row>
    <row r="135" spans="1:11" s="7" customFormat="1" ht="14.25" customHeight="1" x14ac:dyDescent="0.15">
      <c r="A135" s="5">
        <v>133</v>
      </c>
      <c r="B135" s="5" t="str">
        <f>"夏芷欣"</f>
        <v>夏芷欣</v>
      </c>
      <c r="C135" s="5" t="str">
        <f>"女"</f>
        <v>女</v>
      </c>
      <c r="D135" s="5" t="str">
        <f>"202301226132"</f>
        <v>202301226132</v>
      </c>
      <c r="E135" s="5" t="str">
        <f t="shared" si="53"/>
        <v>27</v>
      </c>
      <c r="F135" s="5" t="s">
        <v>21</v>
      </c>
      <c r="G135" s="5" t="s">
        <v>24</v>
      </c>
      <c r="H135" s="5">
        <v>83.8</v>
      </c>
      <c r="I135" s="5">
        <v>80.959999999999994</v>
      </c>
      <c r="J135" s="10">
        <f t="shared" si="52"/>
        <v>82.38</v>
      </c>
      <c r="K135" s="5"/>
    </row>
    <row r="136" spans="1:11" s="7" customFormat="1" ht="14.25" customHeight="1" x14ac:dyDescent="0.15">
      <c r="A136" s="5">
        <v>134</v>
      </c>
      <c r="B136" s="5" t="str">
        <f>"雷菲"</f>
        <v>雷菲</v>
      </c>
      <c r="C136" s="5" t="str">
        <f>"女"</f>
        <v>女</v>
      </c>
      <c r="D136" s="5" t="str">
        <f>"202301226406"</f>
        <v>202301226406</v>
      </c>
      <c r="E136" s="5" t="str">
        <f t="shared" si="53"/>
        <v>27</v>
      </c>
      <c r="F136" s="5" t="s">
        <v>21</v>
      </c>
      <c r="G136" s="5" t="s">
        <v>24</v>
      </c>
      <c r="H136" s="5">
        <v>83.55</v>
      </c>
      <c r="I136" s="5">
        <v>82.83</v>
      </c>
      <c r="J136" s="10">
        <f t="shared" si="52"/>
        <v>83.19</v>
      </c>
      <c r="K136" s="5"/>
    </row>
    <row r="137" spans="1:11" s="7" customFormat="1" ht="14.25" customHeight="1" x14ac:dyDescent="0.15">
      <c r="A137" s="5">
        <v>135</v>
      </c>
      <c r="B137" s="5" t="str">
        <f>"陈丽兰"</f>
        <v>陈丽兰</v>
      </c>
      <c r="C137" s="5" t="str">
        <f>"女"</f>
        <v>女</v>
      </c>
      <c r="D137" s="5" t="str">
        <f>"202301225910"</f>
        <v>202301225910</v>
      </c>
      <c r="E137" s="5" t="str">
        <f t="shared" ref="E137:E140" si="54">"28"</f>
        <v>28</v>
      </c>
      <c r="F137" s="5" t="s">
        <v>23</v>
      </c>
      <c r="G137" s="5" t="s">
        <v>24</v>
      </c>
      <c r="H137" s="5">
        <v>82.65</v>
      </c>
      <c r="I137" s="5">
        <v>78.06</v>
      </c>
      <c r="J137" s="10">
        <f t="shared" si="52"/>
        <v>80.355000000000004</v>
      </c>
      <c r="K137" s="5"/>
    </row>
    <row r="138" spans="1:11" s="7" customFormat="1" ht="14.25" customHeight="1" x14ac:dyDescent="0.15">
      <c r="A138" s="5">
        <v>136</v>
      </c>
      <c r="B138" s="5" t="str">
        <f>"刘小敏"</f>
        <v>刘小敏</v>
      </c>
      <c r="C138" s="5" t="str">
        <f>"女"</f>
        <v>女</v>
      </c>
      <c r="D138" s="5" t="str">
        <f>"202301225731"</f>
        <v>202301225731</v>
      </c>
      <c r="E138" s="5" t="str">
        <f t="shared" si="54"/>
        <v>28</v>
      </c>
      <c r="F138" s="5" t="s">
        <v>23</v>
      </c>
      <c r="G138" s="5" t="s">
        <v>24</v>
      </c>
      <c r="H138" s="5">
        <v>77.75</v>
      </c>
      <c r="I138" s="5">
        <v>80.400000000000006</v>
      </c>
      <c r="J138" s="10">
        <f t="shared" si="52"/>
        <v>79.075000000000003</v>
      </c>
      <c r="K138" s="5"/>
    </row>
    <row r="139" spans="1:11" s="7" customFormat="1" ht="14.25" customHeight="1" x14ac:dyDescent="0.15">
      <c r="A139" s="5">
        <v>137</v>
      </c>
      <c r="B139" s="5" t="str">
        <f>"卜继江"</f>
        <v>卜继江</v>
      </c>
      <c r="C139" s="5" t="str">
        <f>"男"</f>
        <v>男</v>
      </c>
      <c r="D139" s="5" t="str">
        <f>"202301225718"</f>
        <v>202301225718</v>
      </c>
      <c r="E139" s="5" t="str">
        <f t="shared" si="54"/>
        <v>28</v>
      </c>
      <c r="F139" s="5" t="s">
        <v>23</v>
      </c>
      <c r="G139" s="5" t="s">
        <v>24</v>
      </c>
      <c r="H139" s="5">
        <v>77.45</v>
      </c>
      <c r="I139" s="5">
        <v>80.260000000000005</v>
      </c>
      <c r="J139" s="10">
        <f t="shared" si="52"/>
        <v>78.855000000000004</v>
      </c>
      <c r="K139" s="5"/>
    </row>
    <row r="140" spans="1:11" ht="14.25" customHeight="1" x14ac:dyDescent="0.15">
      <c r="A140" s="5">
        <v>138</v>
      </c>
      <c r="B140" s="5" t="str">
        <f>"蒋丽"</f>
        <v>蒋丽</v>
      </c>
      <c r="C140" s="5" t="str">
        <f t="shared" ref="C140" si="55">"女"</f>
        <v>女</v>
      </c>
      <c r="D140" s="5" t="str">
        <f>"202301225610"</f>
        <v>202301225610</v>
      </c>
      <c r="E140" s="5" t="str">
        <f t="shared" si="54"/>
        <v>28</v>
      </c>
      <c r="F140" s="5" t="s">
        <v>23</v>
      </c>
      <c r="G140" s="5" t="s">
        <v>24</v>
      </c>
      <c r="H140" s="5">
        <v>76.8</v>
      </c>
      <c r="I140" s="5">
        <v>78.5</v>
      </c>
      <c r="J140" s="10">
        <f t="shared" si="52"/>
        <v>77.650000000000006</v>
      </c>
      <c r="K140" s="6"/>
    </row>
  </sheetData>
  <sortState ref="A3:M6748">
    <sortCondition ref="E3:E6748"/>
    <sortCondition descending="1" ref="H3:H6748"/>
  </sortState>
  <mergeCells count="1">
    <mergeCell ref="A1:K1"/>
  </mergeCells>
  <phoneticPr fontId="1" type="noConversion"/>
  <pageMargins left="0.86614173228346458" right="7.874015748031496E-2" top="0.31496062992125984" bottom="0.27559055118110237" header="0.19685039370078741" footer="0.11811023622047245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5473_64ad552749313</vt:lpstr>
      <vt:lpstr>'5473_64ad552749313'!Print_Area</vt:lpstr>
      <vt:lpstr>'5473_64ad552749313'!Print_Titles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2023-08-16T09:04:38Z</cp:lastPrinted>
  <dcterms:created xsi:type="dcterms:W3CDTF">2023-07-11T13:36:00Z</dcterms:created>
  <dcterms:modified xsi:type="dcterms:W3CDTF">2023-08-16T09:04:39Z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73D93132B86B42F6A0D0908909C7C772_13</vt:lpwstr>
  </property>
  <property fmtid="{D5CDD505-2E9C-101B-9397-08002B2CF9AE}" pid="3" name="KSOProductBuildVer">
    <vt:lpwstr>2052-12.1.0.15120</vt:lpwstr>
  </property>
</Properties>
</file>